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C:\Sahil\Sahil Work\Track record\Track record\"/>
    </mc:Choice>
  </mc:AlternateContent>
  <xr:revisionPtr revIDLastSave="0" documentId="13_ncr:1_{2BC5EA5C-87AD-472A-BED7-9238E5E7818F}" xr6:coauthVersionLast="47" xr6:coauthVersionMax="47" xr10:uidLastSave="{00000000-0000-0000-0000-000000000000}"/>
  <bookViews>
    <workbookView xWindow="-108" yWindow="-108" windowWidth="23256" windowHeight="12456" tabRatio="857" firstSheet="28" activeTab="32" xr2:uid="{00000000-000D-0000-FFFF-FFFF00000000}"/>
  </bookViews>
  <sheets>
    <sheet name="Sunrise " sheetId="1" r:id="rId1"/>
    <sheet name="Kesar India Limited" sheetId="2" r:id="rId2"/>
    <sheet name="Le Merite Exports Limited" sheetId="6" r:id="rId3"/>
    <sheet name="Virtuoso Optoelectronics Limite" sheetId="8" r:id="rId4"/>
    <sheet name="Tapi Fruit Processing Limited" sheetId="9" r:id="rId5"/>
    <sheet name="Moxsh Overseas Educon Limited" sheetId="12" r:id="rId6"/>
    <sheet name="Lead Reclaim &amp; Rubber Product L" sheetId="11" r:id="rId7"/>
    <sheet name="Pattech Tube and Componets Lim" sheetId="14" r:id="rId8"/>
    <sheet name="Yasons Chemex Care Limited" sheetId="15" r:id="rId9"/>
    <sheet name="Pramara Promotions Limited" sheetId="16" r:id="rId10"/>
    <sheet name="Kundan Edifice Limited" sheetId="17" r:id="rId11"/>
    <sheet name="Oneclick Logistics India Ltd" sheetId="18" r:id="rId12"/>
    <sheet name="Sharp Chucks and Machines Limit" sheetId="19" r:id="rId13"/>
    <sheet name="Committed Cargo Limited" sheetId="20" r:id="rId14"/>
    <sheet name="KK Shah Hospitals" sheetId="21" r:id="rId15"/>
    <sheet name="IBL Finance Limited" sheetId="22" r:id="rId16"/>
    <sheet name="Docmode Health Technologies LTD" sheetId="24" r:id="rId17"/>
    <sheet name="Baweja Studios Limited" sheetId="25" r:id="rId18"/>
    <sheet name="Polysil Irrigation System LTD" sheetId="26" r:id="rId19"/>
    <sheet name="Deem Roll-Tech Limited" sheetId="27" r:id="rId20"/>
    <sheet name="Mukka Protiens Limited" sheetId="28" r:id="rId21"/>
    <sheet name="Vruddhi Engineering Works LTD" sheetId="30" r:id="rId22"/>
    <sheet name="GCONNECT LOGITECH AND SUPPLY CH" sheetId="32" r:id="rId23"/>
    <sheet name="Finelistings Technologies" sheetId="34" r:id="rId24"/>
    <sheet name="MAGENTA LIFECARE LIMITED" sheetId="33" r:id="rId25"/>
    <sheet name="Broach Lifecare Hospitals Ltd" sheetId="36" r:id="rId26"/>
    <sheet name="Boss Packaging Solutions Limite" sheetId="35" r:id="rId27"/>
    <sheet name="Naturewings Holidays Limited" sheetId="40" r:id="rId28"/>
    <sheet name="Hvax Technologies Limited" sheetId="41" r:id="rId29"/>
    <sheet name="Deepak Builders &amp; Engineers " sheetId="42" r:id="rId30"/>
    <sheet name="Royal arc Electrodes Ltd" sheetId="43" r:id="rId31"/>
    <sheet name="Patel Retail Limited" sheetId="44" r:id="rId32"/>
    <sheet name="RUKMANI DEVI GARG AGRO IMPEX LI" sheetId="45" r:id="rId33"/>
  </sheets>
  <definedNames>
    <definedName name="_xlnm.Print_Area" localSheetId="17">'Baweja Studios Limited'!$A$1:$N$119</definedName>
    <definedName name="_xlnm.Print_Area" localSheetId="25">'Broach Lifecare Hospitals Ltd'!$A$1:$N$108</definedName>
    <definedName name="_xlnm.Print_Area" localSheetId="13">'Committed Cargo Limited'!$A$1:$N$109</definedName>
    <definedName name="_xlnm.Print_Area" localSheetId="19">'Deem Roll-Tech Limited'!$A$1:$AB$101</definedName>
    <definedName name="_xlnm.Print_Area" localSheetId="29">'Deepak Builders &amp; Engineers '!$A$1:$N$115</definedName>
    <definedName name="_xlnm.Print_Area" localSheetId="23">'Finelistings Technologies'!$A$1:$N$114</definedName>
    <definedName name="_xlnm.Print_Area" localSheetId="22">'GCONNECT LOGITECH AND SUPPLY CH'!$A$1:$O$111</definedName>
    <definedName name="_xlnm.Print_Area" localSheetId="15">'IBL Finance Limited'!$A$1:$Q$124</definedName>
    <definedName name="_xlnm.Print_Area" localSheetId="1">'Kesar India Limited'!$A$1:$N$114</definedName>
    <definedName name="_xlnm.Print_Area" localSheetId="5">'Moxsh Overseas Educon Limited'!$A$1:$W$104</definedName>
    <definedName name="_xlnm.Print_Area" localSheetId="27">'Naturewings Holidays Limited'!#REF!</definedName>
    <definedName name="_xlnm.Print_Area" localSheetId="11">'Oneclick Logistics India Ltd'!$A$1:$N$108</definedName>
    <definedName name="_xlnm.Print_Area" localSheetId="31">'Patel Retail Limited'!$A$1:$N$135</definedName>
    <definedName name="_xlnm.Print_Area" localSheetId="7">'Pattech Tube and Componets Lim'!$A$1:$N$98</definedName>
    <definedName name="_xlnm.Print_Area" localSheetId="9">'Pramara Promotions Limited'!$A$1:$N$94</definedName>
    <definedName name="_xlnm.Print_Area" localSheetId="30">'Royal arc Electrodes Ltd'!$A$1:$O$113</definedName>
    <definedName name="_xlnm.Print_Area" localSheetId="0">'Sunrise '!$A$1:$N$116</definedName>
    <definedName name="_xlnm.Print_Area" localSheetId="4">'Tapi Fruit Processing Limited'!$A$1:$O$92</definedName>
    <definedName name="_xlnm.Print_Area" localSheetId="3">'Virtuoso Optoelectronics Limite'!$A$1:$O$106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0" i="30" l="1"/>
  <c r="F95" i="30"/>
  <c r="F90" i="30"/>
  <c r="F88" i="30"/>
  <c r="F85" i="30"/>
  <c r="E85" i="30"/>
  <c r="F84" i="40"/>
  <c r="E84" i="40"/>
  <c r="F82" i="40"/>
  <c r="E82" i="40"/>
  <c r="F102" i="35"/>
  <c r="E102" i="35"/>
  <c r="D102" i="35"/>
  <c r="F96" i="35"/>
  <c r="E96" i="35"/>
  <c r="D96" i="35"/>
  <c r="D90" i="35"/>
  <c r="F89" i="35"/>
  <c r="E89" i="35"/>
  <c r="F88" i="35"/>
  <c r="E88" i="35"/>
  <c r="F87" i="35"/>
  <c r="E87" i="35"/>
  <c r="F85" i="35"/>
  <c r="E85" i="35"/>
  <c r="F84" i="35"/>
  <c r="E84" i="35"/>
  <c r="D84" i="35"/>
  <c r="F101" i="36"/>
  <c r="D101" i="36"/>
  <c r="F95" i="36"/>
  <c r="D95" i="36"/>
  <c r="D89" i="36"/>
  <c r="F88" i="36"/>
  <c r="E88" i="36"/>
  <c r="F87" i="36"/>
  <c r="E87" i="36"/>
  <c r="F86" i="36"/>
  <c r="E86" i="36"/>
  <c r="F84" i="36"/>
  <c r="E84" i="36"/>
  <c r="F83" i="36"/>
  <c r="E83" i="36"/>
  <c r="D83" i="36"/>
  <c r="F97" i="33"/>
  <c r="E97" i="33"/>
  <c r="D97" i="33"/>
  <c r="F92" i="33"/>
  <c r="E92" i="33"/>
  <c r="D92" i="33"/>
  <c r="D87" i="33"/>
  <c r="F86" i="33"/>
  <c r="E86" i="33"/>
  <c r="F85" i="33"/>
  <c r="E85" i="33"/>
  <c r="F83" i="33"/>
  <c r="E83" i="33"/>
  <c r="F82" i="33"/>
  <c r="E82" i="33"/>
  <c r="D82" i="33"/>
  <c r="F107" i="34"/>
  <c r="D107" i="34"/>
  <c r="F101" i="34"/>
  <c r="D101" i="34"/>
  <c r="F94" i="34"/>
  <c r="E94" i="34"/>
  <c r="F93" i="34"/>
  <c r="E93" i="34"/>
  <c r="F92" i="34"/>
  <c r="E92" i="34"/>
  <c r="F90" i="34"/>
  <c r="E90" i="34"/>
  <c r="F89" i="34"/>
  <c r="E89" i="34"/>
  <c r="D89" i="34"/>
  <c r="F103" i="32"/>
  <c r="E103" i="32"/>
  <c r="D103" i="32"/>
  <c r="F97" i="32"/>
  <c r="E97" i="32"/>
  <c r="D97" i="32"/>
  <c r="D91" i="32"/>
  <c r="F90" i="32"/>
  <c r="E90" i="32"/>
  <c r="F89" i="32"/>
  <c r="E89" i="32"/>
  <c r="F88" i="32"/>
  <c r="E88" i="32"/>
  <c r="F86" i="32"/>
  <c r="E86" i="32"/>
  <c r="F85" i="32"/>
  <c r="E85" i="32"/>
  <c r="D85" i="32"/>
  <c r="E100" i="30"/>
  <c r="D100" i="30"/>
  <c r="E99" i="30"/>
  <c r="E98" i="30"/>
  <c r="E96" i="30"/>
  <c r="D95" i="30"/>
  <c r="E94" i="30"/>
  <c r="P93" i="30"/>
  <c r="P91" i="30"/>
  <c r="E91" i="30"/>
  <c r="D90" i="30"/>
  <c r="E89" i="30"/>
  <c r="E88" i="30"/>
  <c r="F86" i="30"/>
  <c r="E86" i="30"/>
  <c r="D85" i="30"/>
  <c r="G109" i="28"/>
  <c r="F109" i="28"/>
  <c r="E109" i="28"/>
  <c r="D109" i="28"/>
  <c r="G102" i="28"/>
  <c r="F102" i="28"/>
  <c r="E102" i="28"/>
  <c r="D102" i="28"/>
  <c r="D95" i="28"/>
  <c r="G94" i="28"/>
  <c r="F94" i="28"/>
  <c r="E94" i="28"/>
  <c r="G93" i="28"/>
  <c r="E93" i="28"/>
  <c r="G92" i="28"/>
  <c r="F92" i="28"/>
  <c r="E92" i="28"/>
  <c r="G91" i="28"/>
  <c r="F91" i="28"/>
  <c r="E91" i="28"/>
  <c r="G89" i="28"/>
  <c r="F89" i="28"/>
  <c r="E89" i="28"/>
  <c r="G88" i="28"/>
  <c r="E88" i="28"/>
  <c r="D88" i="28"/>
  <c r="F86" i="28"/>
  <c r="D93" i="27"/>
  <c r="F90" i="27"/>
  <c r="I85" i="27"/>
  <c r="D85" i="27"/>
  <c r="G82" i="27"/>
  <c r="F82" i="27"/>
  <c r="D81" i="27"/>
  <c r="G109" i="26"/>
  <c r="F109" i="26"/>
  <c r="E109" i="26"/>
  <c r="D109" i="26"/>
  <c r="G102" i="26"/>
  <c r="F102" i="26"/>
  <c r="E102" i="26"/>
  <c r="D102" i="26"/>
  <c r="D95" i="26"/>
  <c r="G94" i="26"/>
  <c r="F94" i="26"/>
  <c r="E94" i="26"/>
  <c r="G93" i="26"/>
  <c r="F93" i="26"/>
  <c r="E93" i="26"/>
  <c r="G92" i="26"/>
  <c r="F92" i="26"/>
  <c r="E92" i="26"/>
  <c r="G91" i="26"/>
  <c r="F91" i="26"/>
  <c r="E91" i="26"/>
  <c r="G89" i="26"/>
  <c r="F89" i="26"/>
  <c r="E89" i="26"/>
  <c r="G88" i="26"/>
  <c r="F88" i="26"/>
  <c r="E88" i="26"/>
  <c r="D88" i="26"/>
  <c r="H110" i="25"/>
  <c r="D110" i="25"/>
  <c r="H102" i="25"/>
  <c r="D102" i="25"/>
  <c r="E94" i="25"/>
  <c r="D94" i="25"/>
  <c r="H93" i="25"/>
  <c r="F93" i="25"/>
  <c r="H92" i="25"/>
  <c r="F92" i="25"/>
  <c r="H91" i="25"/>
  <c r="F91" i="25"/>
  <c r="H90" i="25"/>
  <c r="F90" i="25"/>
  <c r="H89" i="25"/>
  <c r="F89" i="25"/>
  <c r="H87" i="25"/>
  <c r="F87" i="25"/>
  <c r="H86" i="25"/>
  <c r="F86" i="25"/>
  <c r="E86" i="25"/>
  <c r="D86" i="25"/>
  <c r="F83" i="24"/>
  <c r="E83" i="24"/>
  <c r="G109" i="22"/>
  <c r="D109" i="22"/>
  <c r="G101" i="22"/>
  <c r="F101" i="22"/>
  <c r="D101" i="22"/>
  <c r="D93" i="22"/>
  <c r="G85" i="22"/>
  <c r="F85" i="22"/>
  <c r="D85" i="22"/>
  <c r="G105" i="21"/>
  <c r="F105" i="21"/>
  <c r="E105" i="21"/>
  <c r="D105" i="21"/>
  <c r="G98" i="21"/>
  <c r="F98" i="21"/>
  <c r="E98" i="21"/>
  <c r="D98" i="21"/>
  <c r="D91" i="21"/>
  <c r="F90" i="21"/>
  <c r="E90" i="21"/>
  <c r="F89" i="21"/>
  <c r="E89" i="21"/>
  <c r="G88" i="21"/>
  <c r="F88" i="21"/>
  <c r="E88" i="21"/>
  <c r="F87" i="21"/>
  <c r="E87" i="21"/>
  <c r="G85" i="21"/>
  <c r="F85" i="21"/>
  <c r="E85" i="21"/>
  <c r="G84" i="21"/>
  <c r="F84" i="21"/>
  <c r="E84" i="21"/>
  <c r="D84" i="21"/>
  <c r="D127" i="44"/>
  <c r="E127" i="44"/>
  <c r="D115" i="44"/>
  <c r="E115" i="44"/>
  <c r="D103" i="44"/>
  <c r="E103" i="44"/>
  <c r="D91" i="44"/>
  <c r="E91" i="44"/>
  <c r="E102" i="44"/>
  <c r="E101" i="44"/>
  <c r="E90" i="35" l="1"/>
  <c r="F90" i="35"/>
  <c r="E101" i="36"/>
  <c r="E95" i="36"/>
  <c r="F89" i="36"/>
  <c r="E89" i="36"/>
  <c r="F87" i="33"/>
  <c r="E87" i="33"/>
  <c r="F95" i="34"/>
  <c r="E107" i="34"/>
  <c r="E101" i="34"/>
  <c r="E95" i="34"/>
  <c r="F91" i="32"/>
  <c r="E91" i="32"/>
  <c r="E93" i="30"/>
  <c r="E95" i="30" s="1"/>
  <c r="E90" i="30"/>
  <c r="G95" i="28"/>
  <c r="F88" i="28"/>
  <c r="E95" i="28"/>
  <c r="F93" i="28"/>
  <c r="F86" i="27"/>
  <c r="G95" i="26"/>
  <c r="E95" i="26"/>
  <c r="F95" i="26"/>
  <c r="H94" i="25"/>
  <c r="F110" i="25"/>
  <c r="E110" i="25"/>
  <c r="F102" i="25"/>
  <c r="E102" i="25"/>
  <c r="F94" i="25"/>
  <c r="F93" i="22"/>
  <c r="F109" i="22"/>
  <c r="G93" i="22"/>
  <c r="G91" i="21"/>
  <c r="F91" i="21"/>
  <c r="E91" i="21"/>
  <c r="E100" i="44"/>
  <c r="E99" i="44"/>
  <c r="E98" i="44"/>
  <c r="E96" i="44"/>
  <c r="E95" i="44"/>
  <c r="E94" i="44"/>
  <c r="E92" i="44"/>
  <c r="G101" i="20"/>
  <c r="G95" i="20"/>
  <c r="G89" i="20"/>
  <c r="G88" i="20"/>
  <c r="G83" i="20"/>
  <c r="G87" i="20"/>
  <c r="G86" i="20"/>
  <c r="G84" i="20"/>
  <c r="G102" i="19"/>
  <c r="G96" i="19"/>
  <c r="G90" i="19"/>
  <c r="G89" i="19"/>
  <c r="G84" i="19"/>
  <c r="G88" i="19"/>
  <c r="G87" i="19"/>
  <c r="G85" i="19"/>
  <c r="G101" i="18"/>
  <c r="G95" i="18"/>
  <c r="G89" i="18"/>
  <c r="G83" i="18"/>
  <c r="G88" i="18"/>
  <c r="G87" i="18"/>
  <c r="G86" i="18"/>
  <c r="G84" i="18"/>
  <c r="G98" i="17"/>
  <c r="G93" i="17"/>
  <c r="G88" i="17"/>
  <c r="G87" i="17"/>
  <c r="G83" i="17"/>
  <c r="G86" i="17"/>
  <c r="G84" i="17"/>
  <c r="G80" i="16"/>
  <c r="G104" i="15"/>
  <c r="G97" i="15"/>
  <c r="G90" i="15"/>
  <c r="G89" i="15"/>
  <c r="G83" i="15"/>
  <c r="G88" i="15"/>
  <c r="G87" i="15"/>
  <c r="G86" i="15"/>
  <c r="G84" i="15"/>
  <c r="G81" i="14"/>
  <c r="F95" i="28" l="1"/>
  <c r="E86" i="45"/>
  <c r="E82" i="45"/>
  <c r="E85" i="45"/>
  <c r="E83" i="45" l="1"/>
  <c r="F90" i="43"/>
  <c r="F89" i="43"/>
  <c r="E88" i="43"/>
  <c r="F88" i="43"/>
  <c r="F105" i="43"/>
  <c r="F98" i="43"/>
  <c r="F84" i="43"/>
  <c r="F87" i="43"/>
  <c r="F85" i="43"/>
  <c r="F91" i="43"/>
  <c r="F107" i="42"/>
  <c r="F100" i="42"/>
  <c r="F92" i="42"/>
  <c r="F93" i="42"/>
  <c r="F91" i="42"/>
  <c r="F90" i="42"/>
  <c r="F89" i="42"/>
  <c r="F87" i="42"/>
  <c r="F86" i="42"/>
  <c r="F84" i="41"/>
  <c r="F82" i="41"/>
  <c r="D92" i="45" l="1"/>
  <c r="D87" i="45"/>
  <c r="D82" i="45"/>
  <c r="D97" i="45"/>
  <c r="R48" i="45"/>
  <c r="G92" i="12"/>
  <c r="P92" i="20"/>
  <c r="P93" i="20"/>
  <c r="F87" i="15"/>
  <c r="E90" i="6" l="1"/>
  <c r="F90" i="6"/>
  <c r="G111" i="6"/>
  <c r="G90" i="6" l="1"/>
  <c r="R48" i="43" l="1"/>
  <c r="E105" i="43" l="1"/>
  <c r="D105" i="43"/>
  <c r="E98" i="43"/>
  <c r="D98" i="43"/>
  <c r="D91" i="43"/>
  <c r="E90" i="43"/>
  <c r="E89" i="43"/>
  <c r="E87" i="43"/>
  <c r="E85" i="43"/>
  <c r="E84" i="43"/>
  <c r="D84" i="43"/>
  <c r="E91" i="43" l="1"/>
  <c r="E84" i="41"/>
  <c r="E82" i="41"/>
  <c r="F102" i="19"/>
  <c r="E102" i="19"/>
  <c r="D102" i="19"/>
  <c r="F96" i="19"/>
  <c r="E96" i="19"/>
  <c r="D96" i="19"/>
  <c r="E90" i="19"/>
  <c r="D90" i="19"/>
  <c r="F89" i="19"/>
  <c r="E89" i="19"/>
  <c r="F88" i="19"/>
  <c r="E88" i="19"/>
  <c r="F87" i="19"/>
  <c r="E87" i="19"/>
  <c r="F85" i="19"/>
  <c r="E85" i="19"/>
  <c r="F84" i="19"/>
  <c r="E84" i="19"/>
  <c r="D84" i="19"/>
  <c r="F98" i="17"/>
  <c r="E98" i="17"/>
  <c r="D98" i="17"/>
  <c r="F93" i="17"/>
  <c r="E93" i="17"/>
  <c r="D93" i="17"/>
  <c r="D88" i="17"/>
  <c r="F87" i="17"/>
  <c r="E87" i="17"/>
  <c r="E88" i="17" s="1"/>
  <c r="F86" i="17"/>
  <c r="F84" i="17"/>
  <c r="E84" i="17"/>
  <c r="F83" i="17"/>
  <c r="E83" i="17"/>
  <c r="D83" i="17"/>
  <c r="F104" i="15"/>
  <c r="E104" i="15"/>
  <c r="D104" i="15"/>
  <c r="F97" i="15"/>
  <c r="E97" i="15"/>
  <c r="D97" i="15"/>
  <c r="D90" i="15"/>
  <c r="F89" i="15"/>
  <c r="E89" i="15"/>
  <c r="F88" i="15"/>
  <c r="E88" i="15"/>
  <c r="E87" i="15"/>
  <c r="F86" i="15"/>
  <c r="E86" i="15"/>
  <c r="F84" i="15"/>
  <c r="E84" i="15"/>
  <c r="F83" i="15"/>
  <c r="E83" i="15"/>
  <c r="D83" i="15"/>
  <c r="F84" i="11"/>
  <c r="G83" i="11"/>
  <c r="F83" i="11"/>
  <c r="G81" i="11"/>
  <c r="F81" i="11"/>
  <c r="G81" i="9"/>
  <c r="F81" i="9"/>
  <c r="E111" i="6"/>
  <c r="F109" i="6"/>
  <c r="F107" i="6"/>
  <c r="G102" i="6"/>
  <c r="F102" i="6"/>
  <c r="E102" i="6"/>
  <c r="D102" i="6"/>
  <c r="E93" i="6"/>
  <c r="D93" i="6"/>
  <c r="G92" i="6"/>
  <c r="F92" i="6"/>
  <c r="G91" i="6"/>
  <c r="F91" i="6"/>
  <c r="G89" i="6"/>
  <c r="F89" i="6"/>
  <c r="G88" i="6"/>
  <c r="F88" i="6"/>
  <c r="G87" i="6"/>
  <c r="F87" i="6"/>
  <c r="G85" i="6"/>
  <c r="F85" i="6"/>
  <c r="G84" i="6"/>
  <c r="F84" i="6"/>
  <c r="E84" i="6"/>
  <c r="D84" i="6"/>
  <c r="G87" i="1"/>
  <c r="F87" i="1"/>
  <c r="E87" i="1"/>
  <c r="D87" i="1"/>
  <c r="G93" i="6" l="1"/>
  <c r="F88" i="17"/>
  <c r="F90" i="19"/>
  <c r="E90" i="15"/>
  <c r="F90" i="15"/>
  <c r="F93" i="6"/>
  <c r="F111" i="6"/>
  <c r="E106" i="42" l="1"/>
  <c r="E105" i="42"/>
  <c r="E99" i="42"/>
  <c r="E86" i="42"/>
  <c r="E92" i="42"/>
  <c r="E98" i="42"/>
  <c r="E91" i="42"/>
  <c r="E104" i="42"/>
  <c r="E97" i="42"/>
  <c r="E90" i="42"/>
  <c r="E103" i="42"/>
  <c r="E101" i="42"/>
  <c r="E94" i="42"/>
  <c r="E87" i="42"/>
  <c r="E96" i="42"/>
  <c r="E89" i="42"/>
  <c r="E93" i="42" s="1"/>
  <c r="P93" i="34"/>
  <c r="P90" i="34"/>
  <c r="E107" i="42" l="1"/>
  <c r="E100" i="42"/>
  <c r="F100" i="20" l="1"/>
  <c r="F94" i="20"/>
  <c r="F88" i="20"/>
  <c r="F83" i="20"/>
  <c r="F99" i="20"/>
  <c r="F93" i="20"/>
  <c r="F87" i="20"/>
  <c r="F98" i="20"/>
  <c r="F92" i="20"/>
  <c r="F95" i="20" s="1"/>
  <c r="F86" i="20"/>
  <c r="F89" i="20" s="1"/>
  <c r="F96" i="20"/>
  <c r="F90" i="20"/>
  <c r="F84" i="20"/>
  <c r="F100" i="18"/>
  <c r="F94" i="18"/>
  <c r="F88" i="18"/>
  <c r="F83" i="18"/>
  <c r="F99" i="18"/>
  <c r="F101" i="18" s="1"/>
  <c r="F93" i="18"/>
  <c r="F87" i="18"/>
  <c r="F98" i="18"/>
  <c r="F92" i="18"/>
  <c r="F86" i="18"/>
  <c r="F89" i="18" s="1"/>
  <c r="F96" i="18"/>
  <c r="F90" i="18"/>
  <c r="F84" i="18"/>
  <c r="F84" i="16"/>
  <c r="F82" i="16"/>
  <c r="F80" i="16"/>
  <c r="F87" i="14"/>
  <c r="F84" i="14"/>
  <c r="P83" i="14"/>
  <c r="F81" i="14"/>
  <c r="F95" i="18" l="1"/>
  <c r="F101" i="20"/>
  <c r="G88" i="12"/>
  <c r="G84" i="12"/>
  <c r="G101" i="2" l="1"/>
  <c r="G102" i="2"/>
  <c r="G103" i="2"/>
  <c r="G104" i="2"/>
  <c r="G105" i="2"/>
  <c r="G99" i="2"/>
  <c r="G98" i="8"/>
  <c r="G94" i="8"/>
  <c r="G97" i="8"/>
  <c r="G96" i="8"/>
  <c r="G91" i="8"/>
  <c r="G93" i="8" s="1"/>
  <c r="G92" i="8"/>
  <c r="G89" i="8"/>
  <c r="G86" i="8"/>
  <c r="G88" i="8" s="1"/>
  <c r="G87" i="8"/>
  <c r="G84" i="8"/>
  <c r="G83" i="8"/>
  <c r="G95" i="2"/>
  <c r="G96" i="2"/>
  <c r="G97" i="2"/>
  <c r="G94" i="2"/>
  <c r="G93" i="2"/>
  <c r="G98" i="2" s="1"/>
  <c r="G91" i="2"/>
  <c r="G106" i="2" l="1"/>
  <c r="G89" i="2"/>
  <c r="G88" i="2"/>
  <c r="G87" i="2"/>
  <c r="G86" i="2"/>
  <c r="G85" i="2"/>
  <c r="G83" i="2"/>
  <c r="G82" i="2"/>
  <c r="G90" i="2" l="1"/>
  <c r="D107" i="42"/>
  <c r="D100" i="42"/>
  <c r="D93" i="42"/>
  <c r="D86" i="42"/>
  <c r="E81" i="14" l="1"/>
  <c r="F98" i="8"/>
  <c r="F93" i="8"/>
  <c r="F83" i="8"/>
  <c r="D101" i="20" l="1"/>
  <c r="D95" i="20"/>
  <c r="D89" i="20"/>
  <c r="D83" i="20"/>
  <c r="D89" i="18"/>
  <c r="D95" i="18"/>
  <c r="D101" i="18"/>
  <c r="D83" i="18"/>
  <c r="D80" i="16"/>
  <c r="E98" i="8" l="1"/>
  <c r="E93" i="8"/>
  <c r="E88" i="8"/>
  <c r="E83" i="8"/>
  <c r="D98" i="8" l="1"/>
  <c r="D93" i="8"/>
  <c r="D88" i="8"/>
  <c r="D83" i="8"/>
  <c r="E106" i="2" l="1"/>
  <c r="E98" i="2"/>
  <c r="E90" i="2"/>
  <c r="E82" i="2"/>
  <c r="D106" i="2"/>
  <c r="D98" i="2"/>
  <c r="D90" i="2"/>
  <c r="D82" i="2"/>
</calcChain>
</file>

<file path=xl/sharedStrings.xml><?xml version="1.0" encoding="utf-8"?>
<sst xmlns="http://schemas.openxmlformats.org/spreadsheetml/2006/main" count="4897" uniqueCount="1001">
  <si>
    <t>A. For Equity Issues</t>
  </si>
  <si>
    <t>Sr. No.</t>
  </si>
  <si>
    <t>Name of the issue:</t>
  </si>
  <si>
    <t>Type of  issue</t>
  </si>
  <si>
    <t>Source: Prospectus of the Company</t>
  </si>
  <si>
    <t>Issue size</t>
  </si>
  <si>
    <t>Grade of issue alongwith name of the rating agency</t>
  </si>
  <si>
    <t>Subscription level (number of times)*</t>
  </si>
  <si>
    <t>As per finalised Basis of Allotment.</t>
  </si>
  <si>
    <t>QIB holding (as a % of total outstanding capital) as disclosed to stock exchanges (See Regulation 31 of the SEBI (Listing Obligations &amp; Disclosure Requiremens) , 2015</t>
  </si>
  <si>
    <t>(i) allotment in the issue</t>
  </si>
  <si>
    <t>Nil</t>
  </si>
  <si>
    <t>(iii) at the end of 1st FY</t>
  </si>
  <si>
    <t xml:space="preserve">(iv) at the end of 2nd FY </t>
  </si>
  <si>
    <t xml:space="preserve">(v) at the end of 3rd FY </t>
  </si>
  <si>
    <t>will be updated at the end of 3rd F.Y.</t>
  </si>
  <si>
    <t>Financials of the issuer (as per the annual financial results submitted to stock exchange in Regulation 33 of the SEBI (Listing Obligations &amp; Disclosure Requiremens) , 2015</t>
  </si>
  <si>
    <t>(Rs. in lakhs)</t>
  </si>
  <si>
    <t>Parameters</t>
  </si>
  <si>
    <t xml:space="preserve">2nd FY </t>
  </si>
  <si>
    <t xml:space="preserve">3rd FY </t>
  </si>
  <si>
    <t>Income from operations</t>
  </si>
  <si>
    <t>will be                                                 updated at                                            the end of                                               3rd F.Y.</t>
  </si>
  <si>
    <t>Net Profit for the period</t>
  </si>
  <si>
    <t>Paid-up equity share capital</t>
  </si>
  <si>
    <t>Reserves excluding revaluation reserves</t>
  </si>
  <si>
    <t>Trading status in the scrip of the issuer (whether frequently traded (as defined under Regulation 2 (j) of SEBI (SAST) Regulations, 2011)  or infrequently traded/ delisted/ suspended by any stock exchange, etc.)</t>
  </si>
  <si>
    <t xml:space="preserve">(i) at the end of 1st FY </t>
  </si>
  <si>
    <t xml:space="preserve">(ii) at the end of 2nd FY </t>
  </si>
  <si>
    <t xml:space="preserve">(iii) at the end of 3rd FY </t>
  </si>
  <si>
    <t>Change, if any, in directors of issuer from the disclosures in the offer document (See Regulation 68 and Schedule III of the SEBI (Listing Obligations &amp; Disclosure Requiremens) , 2015</t>
  </si>
  <si>
    <t>(i) at the end of 1st F.Y.</t>
  </si>
  <si>
    <t>Status of implementation of project/ commencement of commercial production (as submitted to stock exchanges under Regulation 32 of the SEBI (Listing Obligations &amp; Disclosure Requiremens) , 2015</t>
  </si>
  <si>
    <t>Activity</t>
  </si>
  <si>
    <t>(i) as disclosed in the offer document</t>
  </si>
  <si>
    <t xml:space="preserve">(iii) Reasons for delay in implementation, if any </t>
  </si>
  <si>
    <t>(i) as disclosed in the offer document: Fund Requirements</t>
  </si>
  <si>
    <t>(ii) Actual utilization</t>
  </si>
  <si>
    <t>(iii) Reasons for deviation, if any:</t>
  </si>
  <si>
    <t xml:space="preserve">                </t>
  </si>
  <si>
    <t>Source:  Prospectus and Information provided by the Company</t>
  </si>
  <si>
    <t>Comments of monitoring agency</t>
  </si>
  <si>
    <t xml:space="preserve">Price- related data </t>
  </si>
  <si>
    <t>Issue price (Rs):</t>
  </si>
  <si>
    <t>Price parameters</t>
  </si>
  <si>
    <t xml:space="preserve">At close of 90th calendar day from listing day </t>
  </si>
  <si>
    <t xml:space="preserve">Closing price </t>
  </si>
  <si>
    <t>High (during the FY)</t>
  </si>
  <si>
    <t>Low (during the FY)</t>
  </si>
  <si>
    <t>Closing price</t>
  </si>
  <si>
    <t>N.A.</t>
  </si>
  <si>
    <t>Basis for Issue Price and Comparison with Peer Group &amp; Industry Average (Source of accounting ratios of peer group and industry average may be indicated; source of the accounting ratios may generally be the same, however in case of different sources, reasons for the same may be indicated)</t>
  </si>
  <si>
    <t>Accounting ratio</t>
  </si>
  <si>
    <t>Name of company</t>
  </si>
  <si>
    <t xml:space="preserve">At the end of 1st FY </t>
  </si>
  <si>
    <t xml:space="preserve">At the end of 2nd FY </t>
  </si>
  <si>
    <t xml:space="preserve">At the end of 3rd FY </t>
  </si>
  <si>
    <t>Peer Group:</t>
  </si>
  <si>
    <t>Industry Avg:</t>
  </si>
  <si>
    <t>P/E</t>
  </si>
  <si>
    <t>RoNW (%)</t>
  </si>
  <si>
    <t>NAV per share based on balance sheet</t>
  </si>
  <si>
    <t>Note : Industry average has been calculated by taking the average of peer group companies.</t>
  </si>
  <si>
    <t>Any other material information</t>
  </si>
  <si>
    <t>Source: NSE</t>
  </si>
  <si>
    <t xml:space="preserve">(ii) Actual implementation </t>
  </si>
  <si>
    <t>Market Price (NSE)</t>
  </si>
  <si>
    <t>Index (of the Designated Stock Exchange): NSE NIFTY</t>
  </si>
  <si>
    <t xml:space="preserve">*At close of 30th calendar day from listing day </t>
  </si>
  <si>
    <t>2.Prices of NSE EMERGE are considered for all above calculations</t>
  </si>
  <si>
    <t>3.Closing Price of previous trading day is considered wherever applicable</t>
  </si>
  <si>
    <t>4. N.A – Not Applicable</t>
  </si>
  <si>
    <t>EPS (Basic &amp; Diluted)</t>
  </si>
  <si>
    <t>Status of implementation of project/ commencement of commercial production (as submitted to stock exchanges under Regulation 32 of the SEBI (Listing Obligations &amp; Disclosure Requirements) , 2015</t>
  </si>
  <si>
    <t>Financials of the issuer (as per the annual financial results submitted to stock exchange in Regulation 33 of the SEBI (Listing Obligations &amp; Disclosure Requirements) , 2015</t>
  </si>
  <si>
    <t>Frequently Traded</t>
  </si>
  <si>
    <t>No change</t>
  </si>
  <si>
    <t xml:space="preserve">1st FY </t>
  </si>
  <si>
    <t>will be updated at the end of 2nd F.Y.</t>
  </si>
  <si>
    <t>At close of listing day (October 15, 2020)</t>
  </si>
  <si>
    <t xml:space="preserve">As disclosed in the offer document  </t>
  </si>
  <si>
    <t>*There are no listed companies in India which are engaged in the same line of
business as our Company, hence comparison with industry peers are not applicable.</t>
  </si>
  <si>
    <t>**Will be updated once company files financials with Stock Exchange</t>
  </si>
  <si>
    <t xml:space="preserve">Will be                              updated** </t>
  </si>
  <si>
    <t>2.Prices of NSE are considered for all above calculations</t>
  </si>
  <si>
    <t>No Change</t>
  </si>
  <si>
    <t>Freqeuntly traded</t>
  </si>
  <si>
    <t xml:space="preserve">#(iii) Reasons for delay in implementation, if any </t>
  </si>
  <si>
    <t xml:space="preserve">#ii) Actual implementation </t>
  </si>
  <si>
    <t>Not Applicable as the issue size was less than Rs. 100 crores</t>
  </si>
  <si>
    <t>Not applicable</t>
  </si>
  <si>
    <t xml:space="preserve">At close of 30th calendar day from listing day </t>
  </si>
  <si>
    <t>Monitoring Agency</t>
  </si>
  <si>
    <t>Frequently traded</t>
  </si>
  <si>
    <t xml:space="preserve">No deviation </t>
  </si>
  <si>
    <t>No Deviation</t>
  </si>
  <si>
    <t xml:space="preserve">ii) Actual implementation </t>
  </si>
  <si>
    <t>(ii) at the end of the 1st Quarter immediately after the listing of the issue (December 31, 2022)</t>
  </si>
  <si>
    <t>As at the end of 1st FY after the listing of the issue (2022-23)</t>
  </si>
  <si>
    <r>
      <rPr>
        <b/>
        <i/>
        <sz val="16"/>
        <color theme="1"/>
        <rFont val="Times New Roman"/>
        <family val="1"/>
      </rPr>
      <t>Note:</t>
    </r>
    <r>
      <rPr>
        <i/>
        <sz val="16"/>
        <color theme="1"/>
        <rFont val="Times New Roman"/>
        <family val="1"/>
      </rPr>
      <t xml:space="preserve"> 1.The Nifty 50 Index is considered as the Benchmark Indices.</t>
    </r>
  </si>
  <si>
    <t>SUNRISE EFFICIENT MARKETING LIMITED</t>
  </si>
  <si>
    <t>Initial Public Offering (IPO) on SME Platform on BSE Limited</t>
  </si>
  <si>
    <t>Since the issue was made in terms of Chapter IX of the SEBI (ICDR) Regulations 2018, there was no requirement of appointing a IPO Grading agency.</t>
  </si>
  <si>
    <t>1.06 Times (after technical rejection)</t>
  </si>
  <si>
    <t>Rs. 1669.80 lakhs</t>
  </si>
  <si>
    <t>(ii) at the end of the 1st Quarter immediately after the listing of the issue (September 30, 2022)</t>
  </si>
  <si>
    <t>1st FY (2022-23)</t>
  </si>
  <si>
    <t>2nd FY (2023-24)</t>
  </si>
  <si>
    <t>Will be updated at the end of 3rd FY</t>
  </si>
  <si>
    <t>Will be updated at the end of 2nd FY</t>
  </si>
  <si>
    <t>Note: Since the company's share were listed on April 12, 2022 we are considering 12 months period ended March 31, 2023 as the 1st Financial Year.</t>
  </si>
  <si>
    <t>Rs. 121/-</t>
  </si>
  <si>
    <t>Market Price (BSE)</t>
  </si>
  <si>
    <t>Index (of the Designated Stock Exchange): BSE SENSEX</t>
  </si>
  <si>
    <t>At close of listing day (Apr 12, 2022)</t>
  </si>
  <si>
    <r>
      <rPr>
        <b/>
        <i/>
        <sz val="16"/>
        <rFont val="Times New Roman"/>
        <family val="1"/>
      </rPr>
      <t>Note:</t>
    </r>
    <r>
      <rPr>
        <i/>
        <sz val="16"/>
        <rFont val="Times New Roman"/>
        <family val="1"/>
      </rPr>
      <t xml:space="preserve"> 1.The BSE SENSEX Index is considered as the Benchmark Indices.</t>
    </r>
  </si>
  <si>
    <t>2.Prices of BSE  are considered for all above calculations</t>
  </si>
  <si>
    <t>At the end of 1st FY (2022-23)</t>
  </si>
  <si>
    <t>Issuer: Sunrise Efficient Marketing Limited</t>
  </si>
  <si>
    <t>We believe there are no listed peer group comparable companies in India which are engaged in similar line of business of trading of motors, lubricant oil, gear. Further, there are no listed entities which are focused exclusively on the segment in which we operate</t>
  </si>
  <si>
    <t>EPS (Post Bonus )</t>
  </si>
  <si>
    <t>NA</t>
  </si>
  <si>
    <t>As at the end of 2nd FY after the listing of the issue (2023-24)</t>
  </si>
  <si>
    <t>As at the end of 3rd FY after the listing of the issue  (2024-25)</t>
  </si>
  <si>
    <t>(i) at the end of 1st FY (Source BSE Ltd)</t>
  </si>
  <si>
    <t>Source BSE Ltd</t>
  </si>
  <si>
    <t>Source: BSE Ltd</t>
  </si>
  <si>
    <t xml:space="preserve">Meeting Working Capital Requirement   
                                                 General Corporate Purposes                                                  Issue expenses                                                                           </t>
  </si>
  <si>
    <t xml:space="preserve">1.Meeting Working Capital Requirements- 1118.77 Lakhs                                                                                      
2. General Corporate Purposes -417.45 Lakhs.                                                  3. Issue Expenses -133.58 Lakhs. </t>
  </si>
  <si>
    <t xml:space="preserve">1.Meeting Working Capital Requirements- 1118.77 Lakhs                                                                                      
2. General Corporate Purposes -417.45 Lakhs.                                               
3. Issue Expenses -133.58 Lakhs. </t>
  </si>
  <si>
    <t xml:space="preserve">*Utilized towards loan and advances </t>
  </si>
  <si>
    <t>Kesar India Limited</t>
  </si>
  <si>
    <t>Initial Public Offering (IPO) on SME Platform on BSE Ltd</t>
  </si>
  <si>
    <t>Rs. 1581.68 Lakhs</t>
  </si>
  <si>
    <t>1.49 Times (after technical rejection)</t>
  </si>
  <si>
    <t>1. Appointmnet of Mr. Utsav Sumantkumar Bhavsar as Independent Director for a term of five years w.e.f April 19, 2023, subject to approval of the members.
2. Mr. Rajesh Chaware Independent Director of the Company has resigned w.e.f April 19, 2023.</t>
  </si>
  <si>
    <t xml:space="preserve">To finance development Expenses of our Projects &amp; upcoming Projects. 
Acquisition of land or land development right; and                                                                               General Corporate Purposes                                                                                                          </t>
  </si>
  <si>
    <t>1.To finance development Expenses of our Projects &amp; upcoming Projects. - 1050 Lakhs                                                                                      
2. Acquisition of land or land development right;-150 Lakhs 
3.General Corporate Purpose -230.68 Lakhs. 
4.IPO Issue Expense-151 Lakhs</t>
  </si>
  <si>
    <t>1.To finance development Expenses of our Projects &amp; upcoming Projects. - 1050 Lakhs                                                                                      
2. Acquisition of land or land development right;-164.85 Lakhs 
3.General Corporate Purpose -215.83 Lakhs. 
4.IPO Issue Expense-151 Lakhs</t>
  </si>
  <si>
    <t>The amount utilized for general corporate purposes and Acquisition of land or land development right shall not exceed 35.00% of the gross proceeds of the Issue. Further, the amount proposed to be utilized for Acquisition of land or land development right shall not exceed 25% of the gross proceeds of the Issue.</t>
  </si>
  <si>
    <t>No deviation from object</t>
  </si>
  <si>
    <t>Rs. 170/-</t>
  </si>
  <si>
    <t>At close of listing day (July 12, 2022)</t>
  </si>
  <si>
    <t>2.Prices of BSE Ltd are considered for all above calculations</t>
  </si>
  <si>
    <t>Shri Krishna Devcon Ltd</t>
  </si>
  <si>
    <t>Citadel Realty &amp; Developers Limited</t>
  </si>
  <si>
    <r>
      <t xml:space="preserve">Issuer: </t>
    </r>
    <r>
      <rPr>
        <sz val="16"/>
        <rFont val="Times New Roman"/>
        <family val="1"/>
      </rPr>
      <t>Kesar India Limited</t>
    </r>
  </si>
  <si>
    <t>Note: Since the company's shares were listed on July 12, 2022 we are considering 12 months period ended March 31, 2023 as the 1st Financial Year.</t>
  </si>
  <si>
    <t>Le Merite Exports Limited</t>
  </si>
  <si>
    <t>Rs. 4800.00 Lakhs</t>
  </si>
  <si>
    <t>13.40 Times (after technical rejection)</t>
  </si>
  <si>
    <t>Note: Since the company's shares were listed on May 09 2022 we are considering 12 months period ended March 31, 2023 as the 1st Financial Year.</t>
  </si>
  <si>
    <t>Rs. 75/-</t>
  </si>
  <si>
    <t>(ii) at the end of the 1st Quarter immediately after the listing of the issue (June 30, 2022)</t>
  </si>
  <si>
    <t>In freqeuntly traded</t>
  </si>
  <si>
    <t>Revenue from operations</t>
  </si>
  <si>
    <t xml:space="preserve">No Change </t>
  </si>
  <si>
    <t xml:space="preserve">1. Meeting incremental working capital requirements
2. General Corporate Purposes                                                                                                                    </t>
  </si>
  <si>
    <t>1.Meeting incremental working capital requirements-  3400.00 Lakhs                                                                                                                          
 2. General Corporate Purpose -1100.00 Lakhs. 
3.IPO Issue Expense-300.00 Lakhs</t>
  </si>
  <si>
    <t>Issuer: Le Merite Exports Limited</t>
  </si>
  <si>
    <t>Ambika Cotton Mills Ltd (standalone)</t>
  </si>
  <si>
    <t>Pashupati Cotspin Ltd. (standalone)</t>
  </si>
  <si>
    <t>Shiva Texyarn Ltd. (standalone)</t>
  </si>
  <si>
    <t>Precot Ltd.</t>
  </si>
  <si>
    <t>KPR Mills Ltd</t>
  </si>
  <si>
    <t>Industry Average</t>
  </si>
  <si>
    <t>Sambandam Spinning Mills Ltd</t>
  </si>
  <si>
    <t>Macrotech Developers Limited (Consolidtaed Financial)</t>
  </si>
  <si>
    <t>Oberoi Realty Limited (Consolidtaed Financial)</t>
  </si>
  <si>
    <t>Godrej Properties Limited (Consolidtaed Financial)</t>
  </si>
  <si>
    <t>Rs. 3024 lakhs</t>
  </si>
  <si>
    <t>91.80 Times (after technical rejection)</t>
  </si>
  <si>
    <t>Source: BSE Limited</t>
  </si>
  <si>
    <t>a) Resignation of Abhinav Mahajan  from the post of Independent director of the company wef January 30, 2023.However, he was appointed as Executive Director. 
b) The appointment of Drashti Laxmikant Solanki as Independent Director to hold office upto May 28, 2028.
c) The Appointmnet of Ziral Kumar Soni as Independent Director to hold office upto January 30, 2028.
d)  Komal Kotecha has resigned as an Independent Director on My 29, 2023</t>
  </si>
  <si>
    <t xml:space="preserve">Funding of Working Capital Requirement                                                   General Corporate Purposes                                                  Issue expenses                                                                           </t>
  </si>
  <si>
    <t xml:space="preserve">Funding of Working Capital Requirement   Rs 2040  Lakhs                                               General Corporate Purposes Rs 678.60 Lakhs                                                 Issue expenses Rs 305.40 Lakhs                                                                          </t>
  </si>
  <si>
    <t xml:space="preserve">Funding of Working Capital Requirement   Rs 2040  Lakhs                                              
 General Corporate Purposes Rs 678.60 Lakhs                                               
  Issue expenses Rs 305.40 Lakhs                                                                          </t>
  </si>
  <si>
    <t>Rs. 56/-</t>
  </si>
  <si>
    <t>At close of listing day (September 15, 2022)</t>
  </si>
  <si>
    <r>
      <rPr>
        <b/>
        <i/>
        <sz val="16"/>
        <color theme="1"/>
        <rFont val="Times New Roman"/>
        <family val="1"/>
      </rPr>
      <t>Note:</t>
    </r>
    <r>
      <rPr>
        <i/>
        <sz val="16"/>
        <color theme="1"/>
        <rFont val="Times New Roman"/>
        <family val="1"/>
      </rPr>
      <t xml:space="preserve"> 1.The BSE SENSEX  is considered as the Benchmark Indices.</t>
    </r>
  </si>
  <si>
    <t>2.Prices of BSE Limited are considered for all above calculations</t>
  </si>
  <si>
    <t>Issuer: Virtuoso Optoelctronics Limited</t>
  </si>
  <si>
    <t>Dixon Technologies (India) Ltd</t>
  </si>
  <si>
    <t>Amber Enterprises India Limited</t>
  </si>
  <si>
    <t>Peer Company</t>
  </si>
  <si>
    <t>Note: Since the company's shares were listed on September 15, 2022 we are considering 12 months period ended March 31, 2023 as the 1st Financial Year.</t>
  </si>
  <si>
    <t>***Source:  Prospectus dated August 24, 2022 based on restated financial statement for year ended on March 31, 2022 and for stub period June 30, 2022</t>
  </si>
  <si>
    <t>Amber Enterprises India Limited (Basic)</t>
  </si>
  <si>
    <t>Tapi Fruit Processing Limited</t>
  </si>
  <si>
    <t>Rs. 521.28 lakhs</t>
  </si>
  <si>
    <t>2.433 Times (after technical rejection)</t>
  </si>
  <si>
    <t xml:space="preserve">Source: NSE </t>
  </si>
  <si>
    <t>Source:BSE</t>
  </si>
  <si>
    <t xml:space="preserve">Source: BSE </t>
  </si>
  <si>
    <t xml:space="preserve">1. Meeting Working Capital Requirement     
 2. Repayment / prepayment of certain borrowings availed by our Company                                                      3. General Corporate Purposes                                                  4.Issue expenses                                                                           </t>
  </si>
  <si>
    <t>Rs. 48/-</t>
  </si>
  <si>
    <t>At close of listing day (September 22, 2021)</t>
  </si>
  <si>
    <t>As at the end of 3rd FY after the listing of the issue (2025-26)</t>
  </si>
  <si>
    <t>Source:NSE</t>
  </si>
  <si>
    <t>Note: Since the company's share were listed on September 22, 2022 we are considering 12 months period ended March 31, 2023 as the 1st Financial Year.</t>
  </si>
  <si>
    <t>Issuer: Tapi Fruit Processing Limited***</t>
  </si>
  <si>
    <t>Rs. 1041.62 Lakhs</t>
  </si>
  <si>
    <t>94.30 Times (after technical rejection)</t>
  </si>
  <si>
    <t>Moxsh Overseas Educon Limited</t>
  </si>
  <si>
    <t>(ii) at the end of the 1st Quarter immediately after the listing of the issue (March 31, 2023)</t>
  </si>
  <si>
    <t>(iii) at the end of 1st FY (2022-23)*</t>
  </si>
  <si>
    <t>3rd FY  (2024-25)</t>
  </si>
  <si>
    <t>(i) at the end of 1st F.Y. 2022-23
Source: BSE Ltd</t>
  </si>
  <si>
    <t>At the end of 2nd FY (2023-24)</t>
  </si>
  <si>
    <t>At the end of 3rd FY  (2024-25)</t>
  </si>
  <si>
    <t>***Source:  Prospectus dated June 25, 2022 based on restated financial statement for period ended on March 31, 2021 and stub period ended on December 31, 2021</t>
  </si>
  <si>
    <t xml:space="preserve">1. Meeting our working capital requirements                                   
  2. Expenditure to enhance visibility and
awareness of our brands                                                                                    3.General Corporate Purposes                                                  4. Issue expenses                                                                           </t>
  </si>
  <si>
    <t xml:space="preserve">1. Meeting our working capital requirements   Rs 250 Lakhs                                
  2. Expenditure to enhance visibility Rs 317.69 Lakhs
awareness of our brands                                                                                    3.General Corporate Purposes     Rs 255.20 Lakhs                                            
 4. Issue expenses   Rs 218.74 Lakhs                                                                        </t>
  </si>
  <si>
    <t>Source : Prospectus and Information provided by the Company</t>
  </si>
  <si>
    <t xml:space="preserve">1. Meeting our working capital requirements   Rs 250 Lakhs                                
2. Expenditure to enhance visibility awareness of our brands     Rs 317.69 Lakhs                                                                                 
3.General Corporate Purposes     Rs 255.20 Lakhs                                            
 4. Issue expenses   Rs 218.74 Lakhs                                                                        </t>
  </si>
  <si>
    <t>153/-</t>
  </si>
  <si>
    <t>As at the end of 3rd FY after the listing of the issue (FY 2024-25)</t>
  </si>
  <si>
    <t>At close of listing day (December 30, 2022)</t>
  </si>
  <si>
    <r>
      <t xml:space="preserve">Issuer: </t>
    </r>
    <r>
      <rPr>
        <sz val="16"/>
        <color theme="1"/>
        <rFont val="Times New Roman"/>
        <family val="1"/>
      </rPr>
      <t>Moxsh Overseas Educon Limited</t>
    </r>
  </si>
  <si>
    <t>*There are no listed companies in India that engage in a business similar to that of our Company</t>
  </si>
  <si>
    <t>Note: Since the company's shares were listed on December 30, 2022 we are considering 12 months period ended March 31, 2023 as the 1st Financial Year.</t>
  </si>
  <si>
    <t>Source:  Prospectus dated December 15, 2022 based on restated financial statement for period ended on March 31, 2022 and stub period ended June 30, 2022</t>
  </si>
  <si>
    <t>Note: Since the company's shares were listed on February 21, 2023 we are considering 12 months period ended March 31, 2023 as the 1st Financial Year.</t>
  </si>
  <si>
    <t>Lead Reclaim And Rubber Products Limited</t>
  </si>
  <si>
    <t>Rs. 487.50 Lakhs</t>
  </si>
  <si>
    <t>71.28 Times (after technical rejection)</t>
  </si>
  <si>
    <t>(iii) at the end of 1st FY (2022-2023)</t>
  </si>
  <si>
    <t>InFreqeuntly traded</t>
  </si>
  <si>
    <t>(i) at the end of 1st FY*</t>
  </si>
  <si>
    <t xml:space="preserve">* Note:The Company was listed on February 21, 2023. </t>
  </si>
  <si>
    <t>3rd FY (2024-25)</t>
  </si>
  <si>
    <t>1. Funding our working capital requirements
2. Purchase of plant and machinery for augmenting our
Manufacturing Facility
3. General corporate purposes
4. Issue Expenses</t>
  </si>
  <si>
    <t>No deviation</t>
  </si>
  <si>
    <t>At close of listing day (February 21, 2023)</t>
  </si>
  <si>
    <t>Rs. 25/-</t>
  </si>
  <si>
    <t>As at the end of 3rd FY after the listing of the issue (2024-25)</t>
  </si>
  <si>
    <t>Issuer: Lead Reclaim And Rubber Products Limited</t>
  </si>
  <si>
    <t>Peer Group</t>
  </si>
  <si>
    <t>GRP Limited</t>
  </si>
  <si>
    <t>Pattech Fitwell Tube Components Limited</t>
  </si>
  <si>
    <t>Rs. 1200 Lakhs</t>
  </si>
  <si>
    <t>1.95 Times (after technical rejection)</t>
  </si>
  <si>
    <t>(ii) at the end of the 1st Quarter immediately after the listing of the issue (September 30, 2023)</t>
  </si>
  <si>
    <t>(iii) at the end of 1st FY (2023-2024)</t>
  </si>
  <si>
    <t>1st FY (2023-24)</t>
  </si>
  <si>
    <t>2nd FY (2024-25)</t>
  </si>
  <si>
    <t>3rd FY (2025-26)</t>
  </si>
  <si>
    <t>(i) at the end of 1st FY</t>
  </si>
  <si>
    <t>Rs. 50/-</t>
  </si>
  <si>
    <t>***Source:  Prospectus dated March 22, 2023 based on restated financial statement  stub period ended on November 30, 2022</t>
  </si>
  <si>
    <t>Note: Since the company's shares were listed on April 21, 2023 we are considering 12 months period ended March 31, 2024 as the 1st Financial Year.</t>
  </si>
  <si>
    <t xml:space="preserve">* Note:The Company was listed on April 21, 2023. </t>
  </si>
  <si>
    <t>(iv) at the end of 2nd FY (2024-25)</t>
  </si>
  <si>
    <t>(v) at the end of 3rd FY (2025-26)</t>
  </si>
  <si>
    <t>As at the end of 1st FY after the listing of the issue (2023-24)</t>
  </si>
  <si>
    <t>As at the end of 2nd FY after the listing of the issue (2024-25)</t>
  </si>
  <si>
    <t>Issuer: Pattech Fitwell Tube Components Limited</t>
  </si>
  <si>
    <t xml:space="preserve">*There are no listed companies in India that engage in a business similar to that of our Company.
</t>
  </si>
  <si>
    <t>Peer Group*</t>
  </si>
  <si>
    <t xml:space="preserve">As disclosed in the offer document****  </t>
  </si>
  <si>
    <t>****The Company was incorporated on August 22, 2022 upon conversion of the partnership firm M/s. Pat Tech Fitwell Tube Components</t>
  </si>
  <si>
    <t>1. Funding our working capital requirements
2. General corporate purposes
3. Issue Expenses</t>
  </si>
  <si>
    <t>1. Funding our working capital requirements Rs 865 Lakhs
2. General corporate purposes Rs 264 Lakhs
3. Issue Expenses Rs 71 Lakhs</t>
  </si>
  <si>
    <t>Rs. 2056.80 Lakhs</t>
  </si>
  <si>
    <t>54.37 Times (after technical rejection)</t>
  </si>
  <si>
    <t>Rs. 40/-</t>
  </si>
  <si>
    <t>1. Funding our working capital requirements Rs 1230.63 Lakhs
2. General corporate purposes Rs 486.80 Lakhs
3. Issue Expenses Rs 339.37 Lakhs</t>
  </si>
  <si>
    <t>At close of listing day (August 03, 2023)</t>
  </si>
  <si>
    <t>Note: Since the company's shares were listed on August  03, 2023 we are considering 12 months period ended March 31, 2024 as the 1st Financial Year.</t>
  </si>
  <si>
    <t>Mahickra Chemicals Limited (Consolidated basis)</t>
  </si>
  <si>
    <t>Meghmani Organics Ltd (Consolidated basis</t>
  </si>
  <si>
    <t>Ushanti Colour Chem Limited (Consolidated basis)</t>
  </si>
  <si>
    <t>Kiri Industries Limited (Consolidated basis)</t>
  </si>
  <si>
    <t xml:space="preserve">* Note:The Company was listed on August 03, 2023. </t>
  </si>
  <si>
    <t>Rs. 1527.12 Lakhs</t>
  </si>
  <si>
    <t>24.06 Times (after technical rejection)</t>
  </si>
  <si>
    <t>***Source:  Prospectus dated August 28, 2023 based on restated financial statement  for the period ended on March 31, 2023</t>
  </si>
  <si>
    <t xml:space="preserve">* Note:The Company was listed on September 13, 2023. </t>
  </si>
  <si>
    <t>Rs. 63/-</t>
  </si>
  <si>
    <t>At close of listing day (September  13, 2023)</t>
  </si>
  <si>
    <t>1. Funding our working capital requirements Rs 975 Lakhs
2. General corporate purposes Rs 302.12 Lakhs
3. Issue Expenses Rs 250 Lakhs</t>
  </si>
  <si>
    <t>Note: Since the company's shares were listed on September 13, 2023 we are considering 12 months period ended March 31, 2024 as the 1st Financial Year.</t>
  </si>
  <si>
    <t>Kundan Edifice Limited</t>
  </si>
  <si>
    <t>Note: Since the company's shares were listed on September 26, 2023 we are considering 12 months period ended March 31, 2024 as the 1st Financial Year.</t>
  </si>
  <si>
    <t xml:space="preserve">* Note:The Company was listed on September 26, 2023. </t>
  </si>
  <si>
    <t>Rs. 2522.52 Lakhs</t>
  </si>
  <si>
    <t>37.53 Times (after technical rejection)</t>
  </si>
  <si>
    <t>1. Funding our working capital requirements Rs 1545.60 Lakhs
2. General corporate purposes Rs 608.46 Lakhs
3. Issue Expenses Rs 368.46 Lakhs</t>
  </si>
  <si>
    <t>Rs. 91/-</t>
  </si>
  <si>
    <t>At close of listing day (September 26, 2023)</t>
  </si>
  <si>
    <t>Issuer: Pramara Promotions  Limited</t>
  </si>
  <si>
    <t>*There are no listed companies in India that is engaged in a business similar to that of our Company</t>
  </si>
  <si>
    <t>Issuer: Kundan Edifice Limited</t>
  </si>
  <si>
    <t>Artemis Electricals and Projects Limited (Standalone)</t>
  </si>
  <si>
    <t>Focus Lighting and Fixtures Limited (Consolidfated)</t>
  </si>
  <si>
    <t>Average Industry</t>
  </si>
  <si>
    <t>Focus Lighting and Fixtures Limited (Consolidated)</t>
  </si>
  <si>
    <t>Oneclick Logstics India Limited</t>
  </si>
  <si>
    <t>Rs. 990.79 Lakhs</t>
  </si>
  <si>
    <t>174.41 Times (after technical rejection)</t>
  </si>
  <si>
    <t>(ii) at the end of the 1st Quarter immediately after the listing of the issue (December 31, 2023)</t>
  </si>
  <si>
    <t>***Source:  Prospectus dated September 20, 2023 based on restated financial statement  for the period ended on March 31, 2023</t>
  </si>
  <si>
    <t>Note: Since the company's shares were listed on October 11, 2023 we are considering 12 months period ended March 31, 2024 as the 1st Financial Year.</t>
  </si>
  <si>
    <t xml:space="preserve">* Note:The Company was listed on October 11, 2023. </t>
  </si>
  <si>
    <t>1. Funding our working capital requirements Rs 720.89 Lakhs
2. General corporate purposes Rs 119.90 Lakhs
3. Issue Expenses Rs 150 Lakhs</t>
  </si>
  <si>
    <t>Rs. 99/-</t>
  </si>
  <si>
    <t>At close of listing day (Octber 11, 2023)</t>
  </si>
  <si>
    <t>Issuer: Oneclick Logstics India Limited</t>
  </si>
  <si>
    <t>Amiable Logistics (India) Limited</t>
  </si>
  <si>
    <t>Cargosol Logistics Limited</t>
  </si>
  <si>
    <t>Timescan Logistics (India) Limited</t>
  </si>
  <si>
    <t>Sharp Chucks and Machines Limited</t>
  </si>
  <si>
    <t>Rs. 1684.32 Lakhs</t>
  </si>
  <si>
    <t xml:space="preserve">* Note:The Company was listed on October 12, 2023. </t>
  </si>
  <si>
    <t>1. Funding our working capital requirements Rs 267 Lakhs
2. General corporate purposes Rs 38.78 Lakhs
3. Issue Expenses Rs 260 Lakhs</t>
  </si>
  <si>
    <t>Rs. 58/-</t>
  </si>
  <si>
    <t>The isssue also include of Offer for sale of Rs 1118.54 Lakhs</t>
  </si>
  <si>
    <t>At close of listing day (Octber 12, 2023)</t>
  </si>
  <si>
    <t>Issuer: Sharp Chucks and Machines Limited</t>
  </si>
  <si>
    <t>Note: Since the company's shares were listed on October 12, 2023 we are considering 12 months period ended March 31, 2024 as the 1st Financial Year.</t>
  </si>
  <si>
    <t>Pritika Engineering Components Limited (Consolidated)</t>
  </si>
  <si>
    <t>Nelcast Limited (Consolidated)</t>
  </si>
  <si>
    <t>Bhagwati Autocast Limited (Standalone)</t>
  </si>
  <si>
    <t>Committed Cargo Care Limited</t>
  </si>
  <si>
    <t>Rs. 2494.80 Lakhs</t>
  </si>
  <si>
    <t>81.04 Times (after technical rejection)</t>
  </si>
  <si>
    <t xml:space="preserve">* Note:The Company was listed on October 18, 2023. </t>
  </si>
  <si>
    <t>1. Funding our working capital requirements Rs 1569.05 Lakhs
2. General corporate purposes Rs 544.75 Lakhs
3. Issue Expenses Rs 354 Lakhs</t>
  </si>
  <si>
    <t>Rs. 67/-</t>
  </si>
  <si>
    <t>At close of listing day (Octber 18, 2023)</t>
  </si>
  <si>
    <t>Issuer: Committed Cargo Care Limited</t>
  </si>
  <si>
    <t>Jet Freight Logistics Limited</t>
  </si>
  <si>
    <t>Total Transport Systems Limited</t>
  </si>
  <si>
    <t>Tiger Logistics (India) Ltd.</t>
  </si>
  <si>
    <t>Note: Since the company's shares were listed on October 18, 2023 we are considering 12 months period ended March 31, 2024 as the 1st Financial Year.</t>
  </si>
  <si>
    <t>KK Shah Hospitals Limited</t>
  </si>
  <si>
    <t>Rs. 877.50 Lakhs</t>
  </si>
  <si>
    <t>12.79 Times (after technical rejection)</t>
  </si>
  <si>
    <t xml:space="preserve">* Note:The Company was listed on November 06, 2023. </t>
  </si>
  <si>
    <t>Initial Public Offering (IPO) on SME  Platform on BSE Ltd</t>
  </si>
  <si>
    <t>1.Purchase of medical equipment
2. General corporate purposes
3. Issue Expenses</t>
  </si>
  <si>
    <t>1. Purchase of medical equipment Rs 728.76 Lakhs
2. General corporate purposes Rs 100.24 Lakhs
3. Issue Expenses Rs 48.50 Lakhs</t>
  </si>
  <si>
    <t>Rs. 45/-</t>
  </si>
  <si>
    <t>At close of listing day (November 06, 2023)</t>
  </si>
  <si>
    <r>
      <rPr>
        <b/>
        <i/>
        <sz val="16"/>
        <color theme="1"/>
        <rFont val="Times New Roman"/>
        <family val="1"/>
      </rPr>
      <t>Note:</t>
    </r>
    <r>
      <rPr>
        <i/>
        <sz val="16"/>
        <color theme="1"/>
        <rFont val="Times New Roman"/>
        <family val="1"/>
      </rPr>
      <t xml:space="preserve"> 1.The BSE SENSEX  Index is considered as the Benchmark Indices.</t>
    </r>
  </si>
  <si>
    <t>2.Prices of BSE are considered for all above calculations</t>
  </si>
  <si>
    <t>***Source:  Prospectus dated October  21, 2023 based on restated financial statement  for the period ended on March 31, 2023 and stub period ended June 30, 2023</t>
  </si>
  <si>
    <t>Source: BSE</t>
  </si>
  <si>
    <t>Issuer: KK Shah Hospitals Limited</t>
  </si>
  <si>
    <t>Note: Since the company's shares were listed on November 06, 2023 we are considering 12 months period ended March 31, 2024 as the 1st Financial Year.</t>
  </si>
  <si>
    <t>Family Care Hospitals Limited (Formerly known as Scandent Imaging Limited)</t>
  </si>
  <si>
    <t>Shalby Limited</t>
  </si>
  <si>
    <t>KMC Speciality Hospitals (India) Limited</t>
  </si>
  <si>
    <t>Global Longlife Hospital and Research Limited</t>
  </si>
  <si>
    <t>Rs. 3,340.50 Lakhs</t>
  </si>
  <si>
    <t xml:space="preserve">1.Augmenting our Company’s Tier – I capital base to meet our Company’s future capital requirements, arising out of the
growth of our business and asset
2. General corporate purposes                         3. Issue Expenses
</t>
  </si>
  <si>
    <t xml:space="preserve">1. Augmenting our Company’s Tier – I capital base to meet our Company’s future capital requirements, arising out of the
growth of our business and asset Rs.2,397.19 Lakhs
2. General corporate purposes Rs.768.31Lakhs                                                      3. Issue Expenses Rs.175 Lakhs
</t>
  </si>
  <si>
    <t xml:space="preserve">1. Augmenting our Company’s Tier – I capital base to meet our Company’s future capital requirements, arising out of the
growth of our business and asset Rs.2,397.19 Lakhs
2. General corporate purposes Rs.768.31 Lakhs                                                                                                                                                                3. Issue Expenses Rs.175 Lakhs
</t>
  </si>
  <si>
    <t>Rs. 51/-</t>
  </si>
  <si>
    <t>At close of listing day (January 16, 2024)</t>
  </si>
  <si>
    <t>Issuer: IBL FINANCE</t>
  </si>
  <si>
    <t>MAS Financial Services Limited</t>
  </si>
  <si>
    <t>Arman Financial Service Limited</t>
  </si>
  <si>
    <t>Apollo Finvest (India) Limited</t>
  </si>
  <si>
    <t>CSL Finance Limited</t>
  </si>
  <si>
    <t>Ugro Capital Limited</t>
  </si>
  <si>
    <t xml:space="preserve">* Note:The Company was listed on Janury 16, 2024. </t>
  </si>
  <si>
    <t>Docmode Health Technologies Limited</t>
  </si>
  <si>
    <t>Rs. 671.184 Lakhs</t>
  </si>
  <si>
    <t xml:space="preserve">1.Purchase of IT infrastructure and operating system
2. Meeting incremental working capital requirements                                                   3.General corporate purposes                    4.Issue Expenses              
</t>
  </si>
  <si>
    <t xml:space="preserve">* Note:The Company was listed on February 02, 2024. </t>
  </si>
  <si>
    <t>Rs. 79/-</t>
  </si>
  <si>
    <t>At close of listing day (February 02, 2024)</t>
  </si>
  <si>
    <t>Note: Since the company's shares were listed on February 02, 2024 we are considering 12 months period ended March 31, 2024 as the 1st Financial Year.</t>
  </si>
  <si>
    <t>Note: Since the company's shares were listed on January 16, 2024 we are considering 12 months period ended March 31, 2024 as the 1st Financial Year.</t>
  </si>
  <si>
    <t>Issuer: Docmode Health Technologies Limited</t>
  </si>
  <si>
    <t>Baweja Studios Limited</t>
  </si>
  <si>
    <t>Rs. 9,720 Lakhs</t>
  </si>
  <si>
    <t xml:space="preserve">* Note:The Company was listed on February 06, 2024. </t>
  </si>
  <si>
    <t xml:space="preserve">1.To meet the working capital requirements
2. General corporate purposes                         3. Issue Expenses
</t>
  </si>
  <si>
    <t xml:space="preserve">1.To meet the working capital requirements Rs.5410 Lakhs
2. General corporate purposes Rs.1070.20                                                    3. Issue Expenses Rs.719.80
</t>
  </si>
  <si>
    <t>Rs. 180/-</t>
  </si>
  <si>
    <t>At close of listing day (February 06, 2024)</t>
  </si>
  <si>
    <t>Issuer: Baweja Studios Limited</t>
  </si>
  <si>
    <t>Shemaroo Entertainment Limited</t>
  </si>
  <si>
    <t>Eros International Media Limited</t>
  </si>
  <si>
    <t>Zee Entertainment Enterprises Limited</t>
  </si>
  <si>
    <t>Mukta Arts Limited</t>
  </si>
  <si>
    <t>Vels Film International Limited</t>
  </si>
  <si>
    <t>Note: Since the company's shares were listed on February 06, 2024 we are considering 12 months period ended March 31, 2024 as the 1st Financial Year.</t>
  </si>
  <si>
    <t>Polysil Irrigation Systems Limited</t>
  </si>
  <si>
    <t>Rs. 1743.12 Lakhs</t>
  </si>
  <si>
    <t xml:space="preserve">* Note:The Company was listed on February 16, 2024. </t>
  </si>
  <si>
    <t>Rs. 54/-</t>
  </si>
  <si>
    <t>At close of listing day (February 16, 2024)</t>
  </si>
  <si>
    <t>Captain Polyplast Limited</t>
  </si>
  <si>
    <t>RM Drip and Sprinklers Systems Limited</t>
  </si>
  <si>
    <t>Texmo Pipes and Products Limited</t>
  </si>
  <si>
    <t>Jain Irrigation Systems Limited</t>
  </si>
  <si>
    <t>Issuer: Polysil Irrigation System Limited</t>
  </si>
  <si>
    <t>Note: Since the company's shares were listed on February 16, 2024 we are considering 12 months period ended March 31, 2024 as the 1st Financial Year.</t>
  </si>
  <si>
    <t>Deem Roll-Tech Limited</t>
  </si>
  <si>
    <t>Rs. 2925.72 Lakhs</t>
  </si>
  <si>
    <t xml:space="preserve">* Note:The Company was listed on February 27, 2024. </t>
  </si>
  <si>
    <t xml:space="preserve">1.Funding capital expenditure towards expansion of our existing manufacturing facility at Plot No. 110/1,110/2, New Survey No.
202, Village Ganeshpura, Mehsana, Gujarat, India Rs. 2000 Lakhs
2.Funding our Working Capital Requirements Rs. 350 Lakhs                                           3. General Corporate Purpose Rs. 77.72 Lakhs                                                       4. Issue Expences Rs. 498 Lakhs
</t>
  </si>
  <si>
    <t>Rs. 129/-</t>
  </si>
  <si>
    <t>At close of listing day (February 27, 2024)</t>
  </si>
  <si>
    <t>Issuer: Deem-Tech Limited</t>
  </si>
  <si>
    <t>Tayo Rolls Limited</t>
  </si>
  <si>
    <t>Note: Since the company's shares were listed on February 27, 2024 we are considering 12 months period ended March 31, 2024 as the 1st Financial Year.</t>
  </si>
  <si>
    <t>Mukka Protiens Limited</t>
  </si>
  <si>
    <t>Rs.2,240 Million</t>
  </si>
  <si>
    <t xml:space="preserve">* Note:The Company was listed on March 07, 2024. </t>
  </si>
  <si>
    <t xml:space="preserve">1.Funding working capital requirements of our Company
2.Investment in our Associate, viz. Ento Proteins Private Limited, for funding its working capital requirements                                                   3. General Corporate Purpose                          4. Issue Expences
</t>
  </si>
  <si>
    <t>Rs. 28/-</t>
  </si>
  <si>
    <t>Issuer: Mukka Protiens Limited</t>
  </si>
  <si>
    <t>Avanti Feeds Limited</t>
  </si>
  <si>
    <t>Godrej Agrovet Limited</t>
  </si>
  <si>
    <t>Zeal Aqua Limited</t>
  </si>
  <si>
    <t>Waterbase Limited</t>
  </si>
  <si>
    <t>232.20 Times (after technical rejection)</t>
  </si>
  <si>
    <t>7.24 Times (after technical rejection)</t>
  </si>
  <si>
    <t>15.88 Times (after technical rejection)</t>
  </si>
  <si>
    <t>137.78 Times (after technical rejection)</t>
  </si>
  <si>
    <t>Vruddhi Engineering Works Limited</t>
  </si>
  <si>
    <t>Rs.476 Lakhs</t>
  </si>
  <si>
    <t xml:space="preserve">1.Funding working capital requirements of our Company
2.General Corporate Purpose                    3.Issue Related Expenses                                                 
</t>
  </si>
  <si>
    <t xml:space="preserve">1.Funding working capital requirements of our Company Rs.260 Lakhs             
      2.General Corporate Purpose Rs.118                                        3.Issue Related Expenses Rs.98                                              
</t>
  </si>
  <si>
    <t>Rs. 70/-</t>
  </si>
  <si>
    <t>At close of listing day (April 03, 2024)</t>
  </si>
  <si>
    <t>Issuer: Vruddhi Engineering Works Limited</t>
  </si>
  <si>
    <t>SRU Steels Limited</t>
  </si>
  <si>
    <t>GCONNECT LOGITECH AND SUPPLY CHAIN LIMITED</t>
  </si>
  <si>
    <t>Rs.560 Lakhs</t>
  </si>
  <si>
    <t>53.90 Times (after technical rejection)</t>
  </si>
  <si>
    <t>Note: Since the company's shares were listed on March, 07 2024 we are considering 12 months period ended March 31, 2024 as the 1st Financial Year.</t>
  </si>
  <si>
    <t xml:space="preserve">* Note:The Company was listed on April 03, 2024. </t>
  </si>
  <si>
    <t xml:space="preserve">1.Purchase of Vehicle and Body Building
2.Finance the Website and App Designing                    3.General Corporate Purpose                           4.Issue Related Expenses                                               
</t>
  </si>
  <si>
    <t xml:space="preserve">1.Purchase of Vehicle and Body Building Rs.409.51 Lakhs                                   
    2.Finance the Website and App Designing Rs.48.88 Lakhs                                                                                               3.General Corporate Purpose Rs.46.01 Lakhs                                                           4.Issue Related Expenses Rs.56 Lakhs                                              
</t>
  </si>
  <si>
    <t>Ritco Logistics Limited</t>
  </si>
  <si>
    <t>VRL Logistics Limited</t>
  </si>
  <si>
    <t>Shreeji Translogistics Limited</t>
  </si>
  <si>
    <t>--</t>
  </si>
  <si>
    <t>Issuer: GCONNECT LOGITECH AND SUPPLY CHAIN LIMITED</t>
  </si>
  <si>
    <t>13.20 Times (after technical rejection)</t>
  </si>
  <si>
    <t>EPS (Basic)</t>
  </si>
  <si>
    <t>EPS (Diluted)</t>
  </si>
  <si>
    <t xml:space="preserve"> Mr. Manish Patel Independent Director of the Company has resigned w.e.f January 2, 2024.</t>
  </si>
  <si>
    <t>GRP Limited (Consolidated)</t>
  </si>
  <si>
    <t>Parameters (consolidated)</t>
  </si>
  <si>
    <t>Issuer: Yasons Chemex Care  Limited (Consolidated basis)</t>
  </si>
  <si>
    <t>Focus Lighting and Fixtures Limited (Consolidated) (Basic)</t>
  </si>
  <si>
    <t>Focus Lighting and Fixtures Limited (Consolidated) (Diluted)</t>
  </si>
  <si>
    <t>(ii) at the end of the 1st Quarter immediately after the listing of the issue (March 31, 2024)</t>
  </si>
  <si>
    <t>Parameters (Consolidated)</t>
  </si>
  <si>
    <t>Infrequently traded</t>
  </si>
  <si>
    <t xml:space="preserve">1. Ms. Silva Shah appointed as Independent Director of the Company w.e.f August 21, 2023
 2. Mr. Vinodkumar Independent Director of the Company has resigned w.e.f August 21, 2023
</t>
  </si>
  <si>
    <t>RM Drip and Sprinklers Systems Limited (Basic)</t>
  </si>
  <si>
    <t>RM Drip and Sprinklers Systems Limited (Diluted)</t>
  </si>
  <si>
    <t>Captain Polyplast Limited (Consolidated)</t>
  </si>
  <si>
    <t>Jain Irrigation Systems Limited (Consolidated) (Basic)</t>
  </si>
  <si>
    <t>Jain Irrigation Systems Limited (Consolidated) (Diluted)</t>
  </si>
  <si>
    <t>(Rs. in million)</t>
  </si>
  <si>
    <t>The equity shares of Mukka Protiens Limited are listed on both the National Stock Exchange of India Limited ("NSE")  and BSE Limited ("BSE")(and together with
NSE "Stock Exchanges")</t>
  </si>
  <si>
    <t>Applicable</t>
  </si>
  <si>
    <t xml:space="preserve">1.Funding working capital requirements of our Company Rs.1200 Million
2.Investment in our Associate, viz. Ento Proteins Private Limited, for funding its working capital requirements Rs.100 Million                                                   3. General Corporate Purpose Rs. 558.08 Million  
4. Issue Expences Rs.381.92 Million
</t>
  </si>
  <si>
    <t>At close of listing day (March 7, 2024)</t>
  </si>
  <si>
    <t>Godrej Agrovet Limited (Consolidated)</t>
  </si>
  <si>
    <t>Waterbase Limited (Consolidated)</t>
  </si>
  <si>
    <t>Issuer: Mukka Protiens Limited (in million)</t>
  </si>
  <si>
    <t xml:space="preserve">Godrej Agrovet Limited (Rs. in crore) </t>
  </si>
  <si>
    <t>Zeal Aqua Limited (Rs. in Lakh)</t>
  </si>
  <si>
    <t>Note: Since the company's shares were listed on April 03, 2024 we are considering 12 months period ended March 31, 2025 as the 1st Financial Year.</t>
  </si>
  <si>
    <t>(ii) at the end of the 1st Quarter immediately after the listing of the issue (June 30, 2024)</t>
  </si>
  <si>
    <t>(iii) at the end of 1st FY (2024-2025)</t>
  </si>
  <si>
    <t>(iv) at the end of 2nd FY (2025-26)</t>
  </si>
  <si>
    <t>(v) at the end of 3rd FY (2026-27)</t>
  </si>
  <si>
    <t>1st FY (2024-25)</t>
  </si>
  <si>
    <t>2nd FY (2025-26)</t>
  </si>
  <si>
    <t>3rd FY (2026-27)</t>
  </si>
  <si>
    <t>As at the end of 1st FY after the listing of the issue (2024-25)</t>
  </si>
  <si>
    <t>As at the end of 2nd FY after the listing of the issue (2025-26)</t>
  </si>
  <si>
    <t>As at the end of 3rd FY after the listing of the issue (2026-27)</t>
  </si>
  <si>
    <t>MAGENTA LIFECARE LIMITED</t>
  </si>
  <si>
    <t>950.48 Times (after technical rejection and bids not banked)</t>
  </si>
  <si>
    <t xml:space="preserve">1.Funding the incremental working capital requirements of our Company 
2.General Corporate Purpose                                                           
</t>
  </si>
  <si>
    <t xml:space="preserve">1.Funding the incremental working capital requirements of our Company Rs.424.00 Lakhs
2.General Corporate Purpose Rs.174.00 Lakh                                                                                                     
</t>
  </si>
  <si>
    <t>Rs. 35/-</t>
  </si>
  <si>
    <t>At close of listing day (June 12, 2024)</t>
  </si>
  <si>
    <t>Issuer: MAGENTA LIFECARE LIMITED</t>
  </si>
  <si>
    <t>Sheela Foam Limited (Consolidated basis)</t>
  </si>
  <si>
    <t>Tirupati Foam Limited (Standalone Basis)</t>
  </si>
  <si>
    <t>Note: Since the company's shares were listed on June 12, 2024 we are considering 12 months period ended March 31, 2025 as the 1st Financial Year.</t>
  </si>
  <si>
    <t>Not available</t>
  </si>
  <si>
    <t>InFrequently Traded</t>
  </si>
  <si>
    <t xml:space="preserve">Reappointment of Mr.Jaysukhbhai Popatbhai Limbani </t>
  </si>
  <si>
    <t>frequently traded</t>
  </si>
  <si>
    <t>Rs.1353 Lakhs</t>
  </si>
  <si>
    <t>FINELISTINGS TECHNOLOGIES LIMITED</t>
  </si>
  <si>
    <t xml:space="preserve">* Note:The Company was listed on June 14, 2024. </t>
  </si>
  <si>
    <t>At close of listing day (May 14, 2024)</t>
  </si>
  <si>
    <t>Issuer: FINELISTINGS TECHNOLOGIES LIMITED</t>
  </si>
  <si>
    <t>CarTrade Tech Limited(Basic)</t>
  </si>
  <si>
    <t>Cambridge Technology Enterprises Limited</t>
  </si>
  <si>
    <t>Globalspace Technology Limited</t>
  </si>
  <si>
    <t>Rs. 123/-</t>
  </si>
  <si>
    <t>At the end of 2nd FY  (2023-24)</t>
  </si>
  <si>
    <t xml:space="preserve">1. Meeting Working Capital Requirement Rs 196.60 Lakhs
 2. Repayment / prepayment of certain borrowings availed by our Company  Rs 135.00 Lakhs                                          
3. General Corporate Purposes  Rs  114.68 Lakhs                                             4.Issue expenses  Rs 75.00 Lakhs                                                                        </t>
  </si>
  <si>
    <t xml:space="preserve">1. Meeting Working Capital Requirement Rs 196.60 Lakhs
 2. Repayment / prepayment of certain borrowings availed by our Company  Rs 135.00 Lakhs                                          
3. General Corporate Purposes   Rs   114.68 Lakhs                                            
 4.Issue expenses   Rs 75.00 Lakhs                                                                        </t>
  </si>
  <si>
    <t xml:space="preserve">1.To meet the working capital requirements Rs.500 Lakhs
2. General corporate purposes Rs.105.45                                                                                                                                                                
3. Issue Expenses Rs.174.31
</t>
  </si>
  <si>
    <t>₹ 840.84 Lakhs</t>
  </si>
  <si>
    <t>(ii) at the end of the 1st Quarter immediately after the listing of the issue (September 30, 2024)</t>
  </si>
  <si>
    <t xml:space="preserve">1.Purchase of machineries (excluding GST) 
2.Funding our Working Capital Requirements 3.General Corporate Purposes                                                           
</t>
  </si>
  <si>
    <t>Rs. 66/-</t>
  </si>
  <si>
    <t xml:space="preserve">* Note:The Company was listed on September 6, 2024. </t>
  </si>
  <si>
    <t xml:space="preserve">* Note:The Company was listed on June 12, 2024. </t>
  </si>
  <si>
    <t>At close of listing day (September 6, 2024)</t>
  </si>
  <si>
    <t>Issuer: Boss Packaging Solutions Limited</t>
  </si>
  <si>
    <t>Windsor Machines Limited</t>
  </si>
  <si>
    <t>Manugraph India Limited</t>
  </si>
  <si>
    <t xml:space="preserve">Macpower CNC Machines Limited </t>
  </si>
  <si>
    <t>Note: Since the company's shares were listed on September 6, 2024 we are considering 12 months period ended March 31, 2025 as the 1st Financial Year.</t>
  </si>
  <si>
    <t>3rd FY 
(2024-25)</t>
  </si>
  <si>
    <t xml:space="preserve">1. Funding our working capital requirements Rs 101.43 Lakhs
2. Purchase of plant and machinery for augmenting our Manufacturing Facility Rs 216.42 Lakhs
3. General corporate purposes Rs 109.60 Lakhs
</t>
  </si>
  <si>
    <t xml:space="preserve">ii) Actual implementation* </t>
  </si>
  <si>
    <t>*Funds utilised till 31 March, 2024</t>
  </si>
  <si>
    <t>BOSS PACKAGING SOLUTIONS LIMITED</t>
  </si>
  <si>
    <t>126.9560 Times (after technical rejection and bids not banked)</t>
  </si>
  <si>
    <t xml:space="preserve">(ii) Actual implementation* </t>
  </si>
  <si>
    <t>Initial Public Offering (IPO) on NSE India Limited and BSE Limited</t>
  </si>
  <si>
    <t>BROACH LIFECARE HOSPITAL LIMITED</t>
  </si>
  <si>
    <t>Initial Public Offering (IPO) on the SME Platform of BSE Limited (‘BSE SME’)</t>
  </si>
  <si>
    <t>₹ 402.00 lakhs</t>
  </si>
  <si>
    <t>1. Purchase of Machineries
2. Development of Medical Tourism Web Portal
3.General Corporate Purpose
4. IPO Expenses</t>
  </si>
  <si>
    <t>1. Purchase of Machineries - Rs. 262.45 Lkahs
2. Development of Medical Tourism Web Portal- Rs. 75.00 Lakhs
3.General Corporate Purpose- Rs. 19.55 Lakhs
4. IPO Expenses- Rs. 45.00 Lakhs</t>
  </si>
  <si>
    <t>At close of listing day (August 21, 2024)</t>
  </si>
  <si>
    <t>Issuer:  Boss Packaging Solutions Limited</t>
  </si>
  <si>
    <t>Issuer: Broach Lifecare Hospitals Limited</t>
  </si>
  <si>
    <t>Family Care Hospitals Limited (formerly known as Scandent Imaging Limited)</t>
  </si>
  <si>
    <t>Global Longlife Hospital and Research Limited
Limited</t>
  </si>
  <si>
    <t>Note: Since the company's shares were listed on August 21, 2024 we are considering 12 months period ended March 31, 2025 as the 1st Financial Year.</t>
  </si>
  <si>
    <t>NATUREWINGS HOLIDAYS LIMITED</t>
  </si>
  <si>
    <t>Initial Public Offering (IPO) on the SME Platform of BSE India (‘BSE SME’)</t>
  </si>
  <si>
    <t>₹ 703.30 Lakhs</t>
  </si>
  <si>
    <t xml:space="preserve">1. Meeting working capital requirements 
2. Marketing and Business Promotions 
3.General corporate purposes
</t>
  </si>
  <si>
    <t>Rs.74/-</t>
  </si>
  <si>
    <t>Issuer: Naturewings Holidays Limited</t>
  </si>
  <si>
    <t>Sailani Tours and Travels</t>
  </si>
  <si>
    <t>At the end of 3rd FY (2024-2025)</t>
  </si>
  <si>
    <t>a) Appointment of Abhinav as an additional director (executive) wef May 29, 2023                                                         
 b)Appointment of Ms. Drashti Laxmikant Solanki as Additional Director (Non Executive Independent ) Director wef May 29, 2023                                                                                                                                                         
 c) Resignation of Mrs. Komal Kotecha as (Non Executive Independent) Director wef May 29, 2023</t>
  </si>
  <si>
    <t>1. Appointment of Mohit Gurnani as an Additional Director ( Non Executive, Independent) wef August 29, 2023 for immediate five years                                                                            
 2. Resignation of Mr. Subhasis Ghosh (Independent Director) wef August 29, 2023</t>
  </si>
  <si>
    <t>Pramara Promotions Limited</t>
  </si>
  <si>
    <r>
      <t>*A</t>
    </r>
    <r>
      <rPr>
        <i/>
        <sz val="16"/>
        <color theme="1"/>
        <rFont val="Times New Roman"/>
        <family val="1"/>
      </rPr>
      <t>ctual Utlization as on March 31, 2024</t>
    </r>
  </si>
  <si>
    <t>IBL FINANCE LIMITED</t>
  </si>
  <si>
    <t xml:space="preserve">1. Augmenting our Company’s Tier – I capital base to meet our Company’s future capital requirements, arising out of the
growth of our business and asset Rs.2,397.19 Lakhs
2. General corporate purposes Rs.768.31Lakhs                                                      
3. Issue Expenses Rs.175 Lakhs
</t>
  </si>
  <si>
    <t xml:space="preserve">* Note:The Company was listed on August 21, 2024 </t>
  </si>
  <si>
    <t>Note: Since the company's shares were listed on September 10, 2024 we are considering 12 months period ended March 31, 2025 as the 1st Financial Year.</t>
  </si>
  <si>
    <t>At close of listing day (September 10,2024)</t>
  </si>
  <si>
    <t xml:space="preserve">* Note:The Company was listed on September 10, 2024. </t>
  </si>
  <si>
    <t>NIL</t>
  </si>
  <si>
    <t>***Source:  Prospectus dated August 26, 2024 based on restated financial statement  for the period ended on March 31, 2024, March 31, 2023 and March 31, 2022</t>
  </si>
  <si>
    <t>***Source:  Prospectus dated August 24, 2024 based on restated financial statement  for the period ended on March 31, 2024, March 31, 2023 and March 31, 2022</t>
  </si>
  <si>
    <t>***Source:  Prospectus dated August 06, 2024 based on restated financial statement  for the period ended on  March 31, 2024, June 30, 2023, March 31, 2023 and March 31, 2022</t>
  </si>
  <si>
    <t>***Source:  Prospectus dated May 29, 2024 based on restated financial statement  for the period ended on March 31, 2023 and stub period ended December 31, 2023, March 31, 2023,March 31, 2022 and March 31, 2021</t>
  </si>
  <si>
    <t xml:space="preserve">***Source:  Prospectus dated April 26, 2024 based on restated financial statement  for the period ended on March 31, 2023 and stub period ended February 29,2024, March 31, 2022 and March 31, 2021 </t>
  </si>
  <si>
    <t>Source :Prospectus and BSE website (statement of deviation dated November 14, 2024)</t>
  </si>
  <si>
    <t>***Source:  Prospectus dated March 19, 2024 based on restated financial statement  for the period ended on March 31, 2023 and stub period ended September 30, 2023, March 31, 2022, March 31, 2021 and March 31, 2020</t>
  </si>
  <si>
    <t>The estimated IPO expenses as per the prospectus were Rs.38.192 crores, while the Actual IPO expenses have been higher by INR 7.428 crores and stood at INR 45.62 crores.</t>
  </si>
  <si>
    <t>The estimated GCP utilization was capped at INR 50.910 crore in the last quarter due to excess issuer related expenses of Rs. 4.898 crores. However, in the current quarter the overall variance in IPO expenses of INR 7.428 crore including Rs. 2.53 of Issue related expenditure incurred in Q1 2025 has been absorbed into general corporate purpose.</t>
  </si>
  <si>
    <t>***Source:  Prospectus dated March 05, 2024 based on restated financial statement  for the period ended on March 31, 2023 and stub period ended September 30, 2023, March 31, 2022, March 31, 2021</t>
  </si>
  <si>
    <t xml:space="preserve">1.Funding capital expenditure towards expansion of our existing manufacturing facility at Plot No. 110/1,110/2, New Survey No.
202, Village Ganeshpura, Mehsana, Gujarat, India Rs. 2000 Lakhs
2.Funding our Working Capital Requirements Rs. 350 Lakhs 
3. General Corporate Purpose Rs. 77.72 Lakhs                                                                                                                                                       
4. Issue Expences Rs. 498 Lakhs
</t>
  </si>
  <si>
    <t>***Source:  Prospectus dated February 13, 2024 based on restated financial statement  for the period ended on March 31, 2023 and stub period ended September 30, 2023, March 31, 2022, March 31, 2021</t>
  </si>
  <si>
    <t>***Source:  Prospectus dated February 01, 2024 based on restated financial statement  for the period ended on March 31, 2023 and stub period ended September 30, 2023, March 31, 2022, March 31, 2021</t>
  </si>
  <si>
    <t>Source: Prospectus and NSE website (statement of deviation dated November 14, 2024)</t>
  </si>
  <si>
    <t>1.To meet the working capital requirements Rs.5410 Lakhs
2. General corporate purposes Rs.1070.20                                                    3. Issue Expenses Rs.719.80</t>
  </si>
  <si>
    <t>1.To meet the working capital requirements Rs.5410 Lakhs
2. General corporate purposes Rs.1070.20                
3. Issue Expenses Rs.719.80</t>
  </si>
  <si>
    <t>***Source:  Prospectus dated February 01, 2024 based on restated financial statement  for the period ended on March 31, 2023, March 31, 2022, March 31, 2021 and stub period ended September 30, 2023</t>
  </si>
  <si>
    <t>***Source:  Prospectus dated January 18, 2024 based on restated financial statement  for the period ended on March 31, 2023, March 31, 2022, March 31, 2021 and stub period ended September 30, 2023</t>
  </si>
  <si>
    <t>***Source:  Prospectus dated January 02, 2024 based on restated financial statement  for the period ended on March 31, 2023, March 31, 2022 and March 31, 2021 and stub period ended July 31, 2023</t>
  </si>
  <si>
    <t>***Source:  Prospectus dated September 27, 2023 based on restated financial statement  for the period ended on March 31, 2023, March 31, 2022, March 31, 2021 and stub period ended April 30, 2023</t>
  </si>
  <si>
    <t>***Source:  Prospectus dated September 23, 2023 based on restated financial statement  for the period ended on March 31, 2023, March 31, 2022, March 31, 2021</t>
  </si>
  <si>
    <t>368.04 times (after technical rejection)</t>
  </si>
  <si>
    <t>149.6418 times (after technical rejection)</t>
  </si>
  <si>
    <t>36.26 Times (after technical rejection and bids not banked)</t>
  </si>
  <si>
    <t>2.46 Times (after technical rejection)</t>
  </si>
  <si>
    <t>199.72 Times (after technical rejection)</t>
  </si>
  <si>
    <t>48.13 Times (after technical rejection)</t>
  </si>
  <si>
    <t xml:space="preserve">1. Meeting Working Capital Requirement Rs 196.60 Lakhs
 2. Repayment / prepayment of certain borrowings availed by our Company  Rs 135.00 Lakhs                                          
3. General Corporate Purposes  Rs  114.7 Lakhs                                             4.Issue expenses  Rs 75.00 Lakhs   </t>
  </si>
  <si>
    <t xml:space="preserve">1. Meeting Working Capital Requirement Rs 196.60 Lakhs
 2. Repayment / prepayment of certain borrowings availed by our Company  Rs 135.00 Lakhs                                          
3. General Corporate Purposes  Rs  114.7 Lakhs  
      4.Issue expenses  Rs 75.00 Lakhs                                                                                                                              </t>
  </si>
  <si>
    <t xml:space="preserve">1. Meeting our working capital requirements   Rs 375.11 Lakhs                                
  2. Expenditure to enhance visibility Rs 317.68 Lakhs
awareness of our brands                                                                                    3.General Corporate Purposes  Rs.255.20 Lakhs                                         
 4. Issue expenses   Rs.93.63 Lakhs                                                                       </t>
  </si>
  <si>
    <t xml:space="preserve">1. Meeting our working capital requirements   Rs 375.11 Lakhs                                
2. Expenditure to enhance visibility Rs 317.68 Lakhs awareness of our brands   
3.General Corporate Purposes  Rs.255.20 Lakhs                                         
 4. Issue expenses   Rs.93.63 Lakhs                                                                     </t>
  </si>
  <si>
    <t>Funding our working capital requirements, 
General corporate purposes, Issue Expenses Rs.25,22,52,000/</t>
  </si>
  <si>
    <t>Hvax Technologies Limited</t>
  </si>
  <si>
    <t>Initial Public Offering (IPO) on the EMERGE Platform of National Stock Exchange of India Limited (‘NSE EMERGE’)</t>
  </si>
  <si>
    <t>₹ 3,352.56 Lakhs</t>
  </si>
  <si>
    <t>(ii) at the end of the 1st Quarter immediately after the listing of the issue (December 31, 2024)</t>
  </si>
  <si>
    <t>Rs. 458/-</t>
  </si>
  <si>
    <t xml:space="preserve">* Note:The Company was listed on October 7, 2024. </t>
  </si>
  <si>
    <t>At close of listing day (October 7, 2024)</t>
  </si>
  <si>
    <t>Index (of the Designated Stock Exchange): NSE SENSEX</t>
  </si>
  <si>
    <r>
      <rPr>
        <b/>
        <i/>
        <sz val="16"/>
        <color theme="1"/>
        <rFont val="Times New Roman"/>
        <family val="1"/>
      </rPr>
      <t>Note:</t>
    </r>
    <r>
      <rPr>
        <i/>
        <sz val="16"/>
        <color theme="1"/>
        <rFont val="Times New Roman"/>
        <family val="1"/>
      </rPr>
      <t xml:space="preserve"> 1.The NSE SENSEX  Index is considered as the Benchmark Indices.</t>
    </r>
  </si>
  <si>
    <t>Issuer: HVAX Technologies Limited</t>
  </si>
  <si>
    <t>Ahlada Engineers Limited</t>
  </si>
  <si>
    <t>As disclosed in the offer document***</t>
  </si>
  <si>
    <t>***Source:  Prospectus dated October 01, 2024 based on restated financial statement  for the period ended on March 31, 2024, March 31, 2023 and March 31, 2022</t>
  </si>
  <si>
    <t>Note: Since the company's shares were listed on October 7, 2024 we are considering 12 months period ended March 31, 2025 as the 1st Financial Year.</t>
  </si>
  <si>
    <t xml:space="preserve">1.To meet the working capital requirements Rs.500 Lakhs
2. General corporate purposes Rs.105.45 Lakhs                                                   3. Issue Expenses Rs.174.31 Lakhs
</t>
  </si>
  <si>
    <t>Source: Prospectus and NSE website (statement of deviation dated December 4, 2024)</t>
  </si>
  <si>
    <t>***Source:  Prospectus dated September 05, 2023 based on restated financial statement  for the period ended on March 31, 2023, March 31, 2022, March 31, 2021</t>
  </si>
  <si>
    <t>***Source:  Prospectus dated July 17, 2023 based on restated financial statement  for the period ended on March 31, 2023, March 31, 2022, March 31, 2021 and March 31, 2020</t>
  </si>
  <si>
    <t>***Source:  Prospectus dated February  01, 2023 based on restated financial statement for stub period ended on September 30, 2022 and for the Financial Year ended March 31, 2022, March 31, 2021 and March 31, 2020</t>
  </si>
  <si>
    <t>As disclosed in the offer document  ***</t>
  </si>
  <si>
    <t xml:space="preserve">***Source:  Prospectus dated September 02, 2022 based on restated financial statement for year ended on  March 31, 2020, 2021 and 2022 </t>
  </si>
  <si>
    <t xml:space="preserve">**Source:  Prospectus dated March 23, 2022 based on restated financial statement for period ended on September 30, 2021 and for the Financial Year ended March 31, 2021 </t>
  </si>
  <si>
    <t xml:space="preserve">31.7514 times (after technical rejection) </t>
  </si>
  <si>
    <t>Rs. 428.33 million</t>
  </si>
  <si>
    <t>DEEPAK BUILDERS &amp; ENGINEERS INDIA LIMITED</t>
  </si>
  <si>
    <t>40.85 times</t>
  </si>
  <si>
    <t>The equity shares of Deepak Builders &amp; Engineers India Limited are listed on both the National Stock Exchange of India Limited ("NSE")  and BSE Limited ("BSE")(and together with
NSE "Stock Exchanges")</t>
  </si>
  <si>
    <t xml:space="preserve">* Note:The Company was listed on October 28, 2024. </t>
  </si>
  <si>
    <t>Rs. 203/-</t>
  </si>
  <si>
    <t>At close of listing day (October 28, 2024)</t>
  </si>
  <si>
    <t>Issuer: Deepak Builders &amp; Engineers India Limited</t>
  </si>
  <si>
    <t xml:space="preserve">Peer Group </t>
  </si>
  <si>
    <t>IRCON International Limited</t>
  </si>
  <si>
    <t>Ahluwalia Contracts (India) Limited</t>
  </si>
  <si>
    <t>PSP Projects Limited</t>
  </si>
  <si>
    <t>***Source:  Prospectus dated October 23, 2024 based on restated financial statement  for the period ended on March 31, 2024 and stub period ended June 30, 2024 , March 31, 2023, March 31, 2022</t>
  </si>
  <si>
    <t>Note: Since the company's shares were listed on October 28, 2024  we are considering 12 months period ended March 31, 2025  as the 1st Financial Year.</t>
  </si>
  <si>
    <t>Source: Prospectus and  BSE website ( statement of deviation dated November 12, 2024)</t>
  </si>
  <si>
    <t xml:space="preserve">Will be updated** </t>
  </si>
  <si>
    <t>1. Purchase of Software Rs. 500 Lakhs                                       
2. To meet working capital requirements Rs.500 Lakhs         
3.General corporate purpose Rs.234.79 Lakhs</t>
  </si>
  <si>
    <t>Note: Since the company's shares were listed on May 14, 2024 we are considering 12 months period ended March 31, 2025 as the 1st Financial Year.</t>
  </si>
  <si>
    <t xml:space="preserve">1. Meeting working capital requirements - Rs. 395.00 Lakhs
2. Marketing and Business Promotions - Rs. 102.00 Lakhs
3. General corporate purposes- Rs. 86.30 Lakhs
4. Issue Related expense- Rs. 120 Lakhs
</t>
  </si>
  <si>
    <t>Net profit after tax</t>
  </si>
  <si>
    <t>as on 28 march 2025 (closing price)</t>
  </si>
  <si>
    <t>1.413.04</t>
  </si>
  <si>
    <t>Networth</t>
  </si>
  <si>
    <r>
      <t xml:space="preserve">Issuer: </t>
    </r>
    <r>
      <rPr>
        <sz val="16"/>
        <rFont val="Times New Roman"/>
        <family val="1"/>
      </rPr>
      <t>Kesar India Limited</t>
    </r>
    <r>
      <rPr>
        <b/>
        <sz val="16"/>
        <rFont val="Times New Roman"/>
        <family val="1"/>
      </rPr>
      <t xml:space="preserve"> (standalone)</t>
    </r>
  </si>
  <si>
    <t>Shri Krishna Devcon Ltd (standalone)</t>
  </si>
  <si>
    <t>no of shares</t>
  </si>
  <si>
    <t>5. Closing price for year 2024-25 is considered as on March 28,2025</t>
  </si>
  <si>
    <t>Issuer: Virtuoso Optoelctronics Limited ( standalone)</t>
  </si>
  <si>
    <t>Dixon Technologies (India) Ltd (Basic) ( consolidated)</t>
  </si>
  <si>
    <t>net profit after tax</t>
  </si>
  <si>
    <t>networth</t>
  </si>
  <si>
    <t>number of shares</t>
  </si>
  <si>
    <t>in lakhs</t>
  </si>
  <si>
    <t xml:space="preserve">1. Re appointment of Mrs. Sangeet Gopalchand Gupta </t>
  </si>
  <si>
    <t>Financials of the issuer (as per the annual financial results submitted to stock exchange in Regulation 33 of the SEBI (Listing Obligations &amp; Disclosure Requirements) , 2015 ( Consolidated)</t>
  </si>
  <si>
    <t>Appointment of Mr. Dhananjay Jaichand Shah</t>
  </si>
  <si>
    <r>
      <t xml:space="preserve">Issuer: </t>
    </r>
    <r>
      <rPr>
        <sz val="16"/>
        <color theme="1"/>
        <rFont val="Times New Roman"/>
        <family val="1"/>
      </rPr>
      <t>Moxsh Overseas Educon Limited</t>
    </r>
    <r>
      <rPr>
        <b/>
        <sz val="16"/>
        <color theme="1"/>
        <rFont val="Times New Roman"/>
        <family val="1"/>
      </rPr>
      <t xml:space="preserve"> (STANDALONE)</t>
    </r>
  </si>
  <si>
    <t>net profit</t>
  </si>
  <si>
    <t>Appointment in place of Ripalben Limbani</t>
  </si>
  <si>
    <t>Issuer: Pattech Fitwell Tube Components Limited (STANDALONE)</t>
  </si>
  <si>
    <t>profit after tax</t>
  </si>
  <si>
    <t>equity shares</t>
  </si>
  <si>
    <t>Issuer: Pramara Promotions  Limited (Standalone)</t>
  </si>
  <si>
    <t>profit</t>
  </si>
  <si>
    <t>Number of shares</t>
  </si>
  <si>
    <t>Amiable Logistics (India) Limited (Standalone)</t>
  </si>
  <si>
    <t xml:space="preserve">1748200	</t>
  </si>
  <si>
    <t>Cargosol Logistics Limited (Standalone)</t>
  </si>
  <si>
    <t>Timescan Logistics (India) Limited (Standalone)</t>
  </si>
  <si>
    <t xml:space="preserve">6988000	</t>
  </si>
  <si>
    <t>Total shares</t>
  </si>
  <si>
    <t>Issuer: Committed Cargo Care Limited (Basic)</t>
  </si>
  <si>
    <t>Jet Freight Logistics Limited (standalone)</t>
  </si>
  <si>
    <t>Total Transport Systems Limited (standalone)</t>
  </si>
  <si>
    <t xml:space="preserve">16126973	</t>
  </si>
  <si>
    <t>Tiger Logistics (India) Ltd. (standalone)</t>
  </si>
  <si>
    <t>Issuer: IBL FINANCE (standalone)</t>
  </si>
  <si>
    <t>MAS Financial Services Limited (standalone)</t>
  </si>
  <si>
    <t>Arman Financial Service Limited (basic) (consolidated)</t>
  </si>
  <si>
    <t>Apollo Finvest (India) Limited (standalone)</t>
  </si>
  <si>
    <t>Ugro Capital Limited (basic)</t>
  </si>
  <si>
    <t>0,89%</t>
  </si>
  <si>
    <t>Issuer: Baweja Studios Limited (standalone)</t>
  </si>
  <si>
    <t>Zee Entertainment Enterprises Limited ( consolidated)</t>
  </si>
  <si>
    <t>Mukta Arts Limited ( consolidated)</t>
  </si>
  <si>
    <t>Vels Film International Limited ( consolidated)</t>
  </si>
  <si>
    <t xml:space="preserve">1. Resignation of Mr. Pijush Kanti Dev as Non Executive Director wef 26.02.2025
2. Appointment of  Mr. Jaydev Ramesh Betai as NonExecutive Director
3. Reappointment of Mr. Jyoti Prasad Bhattacharya as Managing Director &amp; CEO </t>
  </si>
  <si>
    <t>Refer below*</t>
  </si>
  <si>
    <t>*Tayo Rolls Limited is suspended due to  Procedural reasons as published on BSE website</t>
  </si>
  <si>
    <t>Shiv Aum Steels Limited</t>
  </si>
  <si>
    <t xml:space="preserve">59939250	</t>
  </si>
  <si>
    <t>CarTrade Tech Limited(Basic) (consoliadted)</t>
  </si>
  <si>
    <t>Cambridge Technology Enterprises Limited (consolidated)</t>
  </si>
  <si>
    <t>Globalspace Technology Limited (standalone)</t>
  </si>
  <si>
    <t xml:space="preserve">34369803	</t>
  </si>
  <si>
    <t>Source : Prospectus and BSE website (statement of deviation dated May 30, 2025)</t>
  </si>
  <si>
    <t>Source: Prospectus and BSE website (statement of deviation dated May 29, 2025)</t>
  </si>
  <si>
    <t>Sailani Tours and Travels (standalone)</t>
  </si>
  <si>
    <t xml:space="preserve">Parameters </t>
  </si>
  <si>
    <t>1. Appointment of Mr. Harnam Singh Khosa as Executive Director wef February 14, 2025</t>
  </si>
  <si>
    <t>IRCON International Limited (standalone)</t>
  </si>
  <si>
    <t xml:space="preserve">940515740	</t>
  </si>
  <si>
    <t>Ahluwalia Contracts (India) Limited (standalone)</t>
  </si>
  <si>
    <t xml:space="preserve">66987560	</t>
  </si>
  <si>
    <t>PSP Projects Limited (standalone)</t>
  </si>
  <si>
    <t xml:space="preserve">39641791	</t>
  </si>
  <si>
    <t>ITD Cementation India Limited</t>
  </si>
  <si>
    <t xml:space="preserve">171787584	</t>
  </si>
  <si>
    <t xml:space="preserve">a) Appointment of Ms.Ila Bhat is appointed as additional director wef April 29, 2024
b) Regularization of Ms.Ila Bhat as independent director wef July 26, 2024
c) Reappointment of Mr. Sukrit Bharati as managing director </t>
  </si>
  <si>
    <t xml:space="preserve">
1. Resignation of Sh. Hari Prasad Thapliya wef 29 May, 2024</t>
  </si>
  <si>
    <t xml:space="preserve">1. Mr. Hiren Kunverji Shah, Whole-Time Director of the Company has resigned w.e.f September 5, 2024.
2. Appointment of Mr. Gaurav Jayantbhai Desai as Additional Director w.e.f. 5th September, 2024 
3. Appointment of Mr. Gaurav Desai (DIN: 10764755) as a Whole Time Director  w.e.f. 5th September, 2024 </t>
  </si>
  <si>
    <t>1. Appointment of Mr. Rushabh Anilkumar Shah (09012222) as an Independent Director of the Company
2.Mr. Smit Kumarpal Shah Independent Director of the Company has resigned w.e.f April 23, 2024
 2. Ms. Silva Kriyangbhai Shah Independent Director of the Company has resigned w.e.f September 13, 2024</t>
  </si>
  <si>
    <t>Source :  Prospectus and NSE website (statement of deviation dated May 12, 2025)</t>
  </si>
  <si>
    <t>1. Change designation of Mr. Paresh Jaysih Sampat (DIN: 00410185) from Additional Director to Director of the company
2. Change in designation of Mr. Paulson Paul Thazhathedath (DIN: 02301881) from Managing Director to Whole Time Director
3. Appointment of Mr. Paresh Jaysih Sampat (DIN: 00410185) as Managing Director of the company
4.Appointment of Mr. Nikhil Pandya (DIN: 01787892) as as an Additional Director designated as Independent Director (Non-Executive Director) 
5. Mr. Krushang Shah Non Executive Independent Director of the Company has resigned w.e.f April 24, 2024.
6. Ms. Hiral Rushang Gandhi Non Executive Director of the Company has resigned w.e.f April 24, 2024.</t>
  </si>
  <si>
    <t xml:space="preserve">1.Purchase of IT infrastructure and operating system Rs.303.08  Lakhs
2. Meeting incremental working capital requirements Rs.200 Lakhs                                                                                                                                   3.General corporate purposes Rs. 103.10 Lakhs                                                   </t>
  </si>
  <si>
    <t>Source : Prospectus and NSE website (statement of deviation dated May 14, 2025)</t>
  </si>
  <si>
    <t>1.Appointment of Mr Parshottam Popat Bhai Donga as Non- Executive Independent Director of the company w.e.f. March 26, 2025
2.Appointment of Mr Pankaj Bhimjibhai Kapadiya as Non- Executive Independent Director of the company w.e.f. March 26, 2025
3.Resignation of Mr Bipinkumar Hirpara as Non- Executive Independent Director of the company w.e.f. October 22, 2024</t>
  </si>
  <si>
    <t>Source : Prospectus and BSE website (statement of deviation dated February 14, 2025)</t>
  </si>
  <si>
    <t>1.Funding working capital requirements of our Company Rs.1200 Million
2.Investment in our Associate, viz. Ento Proteins Private Limited, for funding its working capital requirements Rs. 100 Million 
3. General Corporate Purpose Rs. 558.08 Million</t>
  </si>
  <si>
    <t>Souce:Annual Report of the Company uploaded at BSE and Stock exchange announcements</t>
  </si>
  <si>
    <t>Issuer: Sunrise Efficient Marketing Limited (Basic)</t>
  </si>
  <si>
    <t>(Diluted)</t>
  </si>
  <si>
    <t>As disclosed in the offer document **</t>
  </si>
  <si>
    <t>Issuer: Le Merite Exports Limited (Basic)</t>
  </si>
  <si>
    <t>**Source:  Prospectus dated April 13, 2022 based on restated financial statement for period ended on December 31, 2021 and March 31,2021, March 31,2020, March 31,2019</t>
  </si>
  <si>
    <t>1.Appointment of Ms. Nidhi Bansal (DIN: 09693120) as an Independent Director of the Company effect from 6th September, 2024
2.Resignation of Ms. Chinu Kalal from Non‐Executive Independent Director of the Company w.e.f. 6th September, 2024</t>
  </si>
  <si>
    <t>Source: Prospectus and BSE website  (statement of deviation dated May 27, 2025)</t>
  </si>
  <si>
    <t>Rs.120/-</t>
  </si>
  <si>
    <t>Issuer: Royal arc Electrodes Limited</t>
  </si>
  <si>
    <t>Royal Arc Electrodes Limited</t>
  </si>
  <si>
    <t>(ii) at the end of the 1st Quarter immediately after the listing of the issue March 31, 2025)</t>
  </si>
  <si>
    <t xml:space="preserve">* Note:The Company was listed on February 24, 2025. </t>
  </si>
  <si>
    <t>***Source:  Prospectus dated February 18, 2025 based on restated financial statement  for the period ended on March 31, 2024, March 31, 2023 and March 31, 2022</t>
  </si>
  <si>
    <t>Note: Since the company's shares were listed on February 24, 2025  we are considering 12 months period ended March 31, 2025 as the 1st Financial Year.</t>
  </si>
  <si>
    <t xml:space="preserve">1.53 times (after technical rejection) </t>
  </si>
  <si>
    <t>1. Funding towards the expansion of our manufacturing facility situated at Village Zaroli, Umbergaon Valsad, Gujarat,
Bharat;
2. Funding the working capital requirements of our Company;
3. General corporate purposes</t>
  </si>
  <si>
    <t>At close of listing day (February 24, 2025)</t>
  </si>
  <si>
    <t>Ador Welding Limited</t>
  </si>
  <si>
    <t xml:space="preserve">Gee Limited </t>
  </si>
  <si>
    <t>Rasi Electrodes Limited</t>
  </si>
  <si>
    <t>ESAB India Limited</t>
  </si>
  <si>
    <t xml:space="preserve">P/E </t>
  </si>
  <si>
    <t>Source:  Prospectus and Information provided by the Company (Statement of deviation dated November 14, 2022)</t>
  </si>
  <si>
    <t xml:space="preserve">Funding of Working Capital Requirement   Rs 2040  Lakhs                                               General Corporate Purposes Rs 756.00 Lakhs                                                 Issue expenses Rs.228.00 Lakhs                                                                          </t>
  </si>
  <si>
    <t xml:space="preserve">Funding of Working Capital Requirement   Rs 2040  Lakhs                                              
 General Corporate Purposes Rs.756.00Lakhs                                               
  Issue expenses Rs 228.00 Lakhs                                                                          </t>
  </si>
  <si>
    <r>
      <t xml:space="preserve">* </t>
    </r>
    <r>
      <rPr>
        <i/>
        <sz val="16"/>
        <color theme="1"/>
        <rFont val="Times New Roman"/>
        <family val="1"/>
      </rPr>
      <t>The first financial and the 1st quarter are same i.,e March 31, 2023</t>
    </r>
  </si>
  <si>
    <t xml:space="preserve">1. Funding our working capital requirements Rs 101.43 Lakhs
2. Purchase of plant and machinery for augmenting our Rs 216.42 Lakhs
Manufacturing Facility
3. General corporate purposes Rs 109.60 Lakhs
</t>
  </si>
  <si>
    <t xml:space="preserve">1. Funding our working capital requirements Rs 1230.63 Lakhs
2. General corporate purposes Rs 486.80 Lakhs
3. Issue Expenses Rs 339.37 Lakhs
</t>
  </si>
  <si>
    <t xml:space="preserve">1. Funding our working capital requirements Rs 1230.63 Lakhs
2. General corporate purposes Rs 485.44 Lakhs
3. Issue Expenses Rs 339.37 Lakhs
</t>
  </si>
  <si>
    <t>1. Funding our working capital requirements Rs 1230.63 Lakhs
2. General corporate purposes Rs 485.44 Lakhs
3. Issue Expenses Rs 339.37 Lakhs</t>
  </si>
  <si>
    <t>1. Appointment of Mr. Utsav Sumantkumar Bhavsar (DIN 10121169) as an Additional Director (Non-Executive, Independent) of the Company wef September 03, 2024 and regularized as an Independent director in shareholder meeting dated September 28, 2024
2. Resignation of Mr. Suhail Abbas Motlekar wef September 03, 2024
3. Re-appointment of Mrs. Sheetal Rohit Lamba</t>
  </si>
  <si>
    <t>Source : Prospectus and Information provided by the Company ( Statement of deviation dated May 30, 2024)</t>
  </si>
  <si>
    <t>Re-appointment of Mr. Mahesh Liladhar Bhanushali</t>
  </si>
  <si>
    <t>Source : Prospectus and NSE website</t>
  </si>
  <si>
    <t xml:space="preserve">1.Purchase of IT infrastructure and operating system Rs.303.08 Lakhs
2. Meeting incremental working capital requirements Rs.200 Lakhs                                                                                                                                   3.General corporate purposes Rs. 103.10 Lakhs                                                </t>
  </si>
  <si>
    <t xml:space="preserve">1.Purchase of IT infrastructure and operating system Rs.303.08 Lakhs
2. Meeting incremental working capital requirements Rs.200 Lakhs                                                                                                                                   3.General corporate purposes Rs. 103.10 Lakhs                                                                                                                                                               
</t>
  </si>
  <si>
    <t xml:space="preserve">1.To meet the working capital requirements Rs.5410 Lakhs
2. General corporate purposes Rs.1070.20                                                                                                                                                             
3. Issue Expenses Rs.719.80
</t>
  </si>
  <si>
    <t>The Offer includes Offer for Sale of Rs. 2,520 Lakhs</t>
  </si>
  <si>
    <t>The Offer includes Offer for sale of Rs.963.36 Lakhs</t>
  </si>
  <si>
    <r>
      <t xml:space="preserve">Source:  Prospectus and BSE website </t>
    </r>
    <r>
      <rPr>
        <i/>
        <sz val="16"/>
        <rFont val="Times New Roman"/>
        <family val="1"/>
      </rPr>
      <t>(statement of deviation dated May 23, 2025 and October 22, 2024 ,May 30, 2024, November 08, 2023 , May 30, 2023,December 03, 2022</t>
    </r>
    <r>
      <rPr>
        <i/>
        <sz val="16"/>
        <color theme="1"/>
        <rFont val="Times New Roman"/>
        <family val="1"/>
      </rPr>
      <t>)</t>
    </r>
  </si>
  <si>
    <t>3.Closing Price of previous trading day is considered wherever applicable. The last trading date of the Issuer company  was  on March 31, 2023,March 28, 2024 and  March 28, 2025 for FY 2022-23,2023-24 and 2024-25</t>
  </si>
  <si>
    <t>Closing Price of previous trading day is considered wherever applicable. The last trading date of the Issuer company  was  on March 31, 2023,March 28, 2024 and  March 28, 2025 for FY 2022-23,2023-24 and 2024-25</t>
  </si>
  <si>
    <t>Source:  Prospectus and Information provided by the Company(Statement of deviation dated May 30,2023 and November 11, 2022)</t>
  </si>
  <si>
    <t>****.Closing Price of previous trading day is considered wherever applicable. The last trading date of the Issuer company  was  on March 31, 2023,March 28, 2024 and  March 28, 2025 for FY 2022-23,2023-24 and 2024-25</t>
  </si>
  <si>
    <t>.Closing Price of previous trading day is considered wherever applicable. The last trading date of the Issuer company  was  on March 31, 2023,March 28, 2024 and  March 28, 2025 for FY 2022-23,2023-24 and 2024-25</t>
  </si>
  <si>
    <t>3.Closing Price of previous trading day is considered wherever applicable. The last trading date of the Issuer company  was  on March 28, 2024 and  March 28, 2025 for FY 2023-24 and 2024-25</t>
  </si>
  <si>
    <t>Closing Price of previous trading day is considered wherever applicable. The last trading date of the Issuer company  was  on March 28, 2024 and  March 28, 2025 for FY 2023-24 and 2024-25</t>
  </si>
  <si>
    <t>Source: Prospectus and Statement of Deviation dated November 11, 2023 and May 14, 2024</t>
  </si>
  <si>
    <t xml:space="preserve">Source : Prospectus and Statement of deviation dated May 07, 2025 </t>
  </si>
  <si>
    <t>₹ 3,600 lakhs</t>
  </si>
  <si>
    <t>(iii) at the end of 1st FY (2024-25)</t>
  </si>
  <si>
    <t>(v) at the end of 3rd FY (2026-27))</t>
  </si>
  <si>
    <t xml:space="preserve">1.Purchase of machineries (excluding GST) ₹ 333.70 Lakhs
2.Funding our Working Capital Requirements ₹ 300.00 Lakhs
3.General Corporate Purposes ₹ 142.14 Lakhs 
4. Issue related expense  ₹ 65.00 Lakhs                                                                                                          
</t>
  </si>
  <si>
    <t xml:space="preserve">1.Purchase of machineries (excluding GST) ₹ 333.70 Lakhs
2.Funding our Working Capital Requirements ₹ 300.00 Lakhs
3.General Corporate Purposes ₹ 142.14 Lakhs   
 4. Issue related expense  ₹ 65.00 Lakhs                                                                                                           
</t>
  </si>
  <si>
    <t>1. Funding our working capital requirements ₹ 2,170.00 Lakhs
2. General Corporate Purposes ₹ 830.00 Lakhs
3. Issue Expenses ₹ 352.56</t>
  </si>
  <si>
    <t xml:space="preserve">1. Funding our working capital requirements 
2. General Corporate Purposes
3. Issue Expenses
</t>
  </si>
  <si>
    <r>
      <t>1. Funding towards the expansion of our manufacturing facility situated at Village Zaroli, Umbergaon Valsad, Gujarat, Bharat- Rs. 488.66 Lakh
2. Funding the working capital requirements of our Company-Rs. 1,400.00
3. General corporate purposes</t>
    </r>
    <r>
      <rPr>
        <sz val="16"/>
        <color rgb="FFFF0000"/>
        <rFont val="Times New Roman"/>
        <family val="1"/>
      </rPr>
      <t>-</t>
    </r>
    <r>
      <rPr>
        <sz val="16"/>
        <color theme="1" tint="4.9989318521683403E-2"/>
        <rFont val="Times New Roman"/>
        <family val="1"/>
      </rPr>
      <t>Rs. 55.34</t>
    </r>
    <r>
      <rPr>
        <sz val="16"/>
        <color theme="1"/>
        <rFont val="Times New Roman"/>
        <family val="1"/>
      </rPr>
      <t xml:space="preserve">
4. Issue Expense - Rs. 216.00</t>
    </r>
  </si>
  <si>
    <t>1. Funding towards the expansion of our manufacturing facility situated at Village Zaroli, Umbergaon Valsad, Gujarat, Bharat- Rs. 488.66 Lakh
2. Funding the working capital requirements of our Company-Rs. 1,400.00
3. General corporate purposes-Rs. 55.34
4. Issue Expense - Rs. 216.00</t>
  </si>
  <si>
    <t xml:space="preserve">1.Funding the incremental working capital requirements of our Company Rs.424.00 Lakhs
2.General Corporate Purpose Rs.174.00 Lakh 
3. Issue Expense- Rs. 102 Lakhs                                                          
</t>
  </si>
  <si>
    <t>Initial Public Offering (IPO) on National Stock Exchange of India Limited</t>
  </si>
  <si>
    <t>Source: National Stock Exchange of India Limited website</t>
  </si>
  <si>
    <t>Market Price (National Stock Exchange of India Limited)</t>
  </si>
  <si>
    <t>2.Prices of National Stock Exchange of India Limited are considered for all above calculations</t>
  </si>
  <si>
    <t>Index (of the Designated Stock Exchange): National Stock Exchange of India Limited NIFTY</t>
  </si>
  <si>
    <t>Initial Public Offering (IPO) on EMERGE Platform on National Stock Exchange of India Limited</t>
  </si>
  <si>
    <t xml:space="preserve">Source: National Stock Exchange of India Limited </t>
  </si>
  <si>
    <t>Source: National Stock Exchange of India Limited</t>
  </si>
  <si>
    <t>Prospectus and National Stock Exchange of India Limited website (statement of deviation dated October 31, 2023 and May 30, 2023)</t>
  </si>
  <si>
    <t>Source:  Prospectus and National Stock Exchange of India Limited website (statement of deviation dated October 31, 2023 and May 30, 2023)</t>
  </si>
  <si>
    <t>Initial Public Offering (IPO) on EMERGE Platform on National Stock Exchange of India LimitedLimited</t>
  </si>
  <si>
    <t>Souce: National Stock Exchange of India Limited</t>
  </si>
  <si>
    <t>Source:  Prospectus and National Stock Exchange of India Limited website (statement of deviation dated May 24, 2024)</t>
  </si>
  <si>
    <t>Source:  Prospectus and National Stock Exchange of India Limited website (statement of deviation dated May 24, 2024, November 11, 2023 and May 30, 2023)</t>
  </si>
  <si>
    <t>Source:National Stock Exchange of India Limited</t>
  </si>
  <si>
    <t>Initial Public Offering (IPO) on EMERGE Platform on National Stock Exchange of India  Limited</t>
  </si>
  <si>
    <t xml:space="preserve">Source:Annual Report uploaded at National Stock Exchange of India Limited </t>
  </si>
  <si>
    <t>Source :  Prospectus and National Stock Exchange of India Limited website (statement of deviation dated May 30, 2024 and November 11, 2024)</t>
  </si>
  <si>
    <t>Source : Prospectus and National Stock Exchange of India Limited website (statement of deviation dated November 11, 2024)</t>
  </si>
  <si>
    <t xml:space="preserve">Source: National Stock Exchange of India Limited  </t>
  </si>
  <si>
    <t xml:space="preserve">Source:National Stock Exchange of India Limited </t>
  </si>
  <si>
    <t>Market Price (National Stock Exchange of India Limited )</t>
  </si>
  <si>
    <t>2.Prices of National Stock Exchange of India Limited  are considered for all above calculations</t>
  </si>
  <si>
    <t>Initial Public Offering (IPO) on EMERGE Platform onNational Stock Exchange of India  Limited</t>
  </si>
  <si>
    <t xml:space="preserve">Initial Public Offering (IPO) on EMERGE Platform on National Stock Exchange of India Limited </t>
  </si>
  <si>
    <t xml:space="preserve">Initial Public Offering (IPO) on EMERGE Platform on National Stock Exchange of India Limited  </t>
  </si>
  <si>
    <t xml:space="preserve">Source: National Stock Exchange of India Limited   </t>
  </si>
  <si>
    <t>2.Prices of National Stock Exchange of India Limited   are considered for all above calculations</t>
  </si>
  <si>
    <t xml:space="preserve">Source:National Stock Exchange of India Limited  </t>
  </si>
  <si>
    <t>Market Price (National Stock Exchange of India Limited  )</t>
  </si>
  <si>
    <t>Source : Prospectus and National Stock Exchange of India Limited   website (statement of deviation dated November 14, 2024 and May 28, 2025)</t>
  </si>
  <si>
    <t>Source: Prospectus and National Stock Exchange of India Limited   website (statement of deviation dated November 14, 2024 and May 28, 2025)</t>
  </si>
  <si>
    <t>Source : Prospectus and National Stock Exchange of India Limited  website (statement of deviation dated May 14, 2025, May 14, 2024 and November 14, 2024 )</t>
  </si>
  <si>
    <t>Index (of the Designated Stock Exchange):NSE</t>
  </si>
  <si>
    <r>
      <rPr>
        <b/>
        <i/>
        <sz val="16"/>
        <color theme="1"/>
        <rFont val="Times New Roman"/>
        <family val="1"/>
      </rPr>
      <t>Note:</t>
    </r>
    <r>
      <rPr>
        <i/>
        <sz val="16"/>
        <color theme="1"/>
        <rFont val="Times New Roman"/>
        <family val="1"/>
      </rPr>
      <t xml:space="preserve"> 1.The NSE Nifty Index is considered as the Benchmark Indices.</t>
    </r>
  </si>
  <si>
    <t>* Date of shareholder Approval -March 22, 2025</t>
  </si>
  <si>
    <t>Source : Prospectus and National Stock Exchange of India Limited website (statement of deviation dated  November 3, 2023)</t>
  </si>
  <si>
    <t>Meghmani Organics Ltd (Consolidated basis)</t>
  </si>
  <si>
    <t xml:space="preserve">1.To meet the working capital requirements
2. General corporate purposes                         
3. Issue Expenses
</t>
  </si>
  <si>
    <t>Source : Prospectus and NSE website (statement of deviation dated May 28, 2025, November 14, 2024 and June 2, 2025)</t>
  </si>
  <si>
    <t>Source: Prospectus and BSE website (statement of deviation dated May 29, 2025 and May 29, 2024 )</t>
  </si>
  <si>
    <t xml:space="preserve"> Source: Prospectus and BSE website (statement of deviation dated May 29, 2025 and May 29, 2024 )</t>
  </si>
  <si>
    <t xml:space="preserve">1.Purchase of Vehicle and Body Building Rs.409.50 Lakhs                                   
    2.Finance the Website and App Designing Rs.48.90 Lakhs                                                                                               3.General Corporate Purpose Rs.46 Lakhs                                                           4.Issue Related Expenses Rs.56 Lakhs   </t>
  </si>
  <si>
    <t xml:space="preserve">1.Purchase of Vehicle and Body Building Rs.409.50 Lakhs                                   
2.Finance the Website and App Designing Rs.48.90 Lakhs 
3.General Corporate Purpose Rs.46 Lakhs                  
4.Issue Related Expenses Rs.56 Lakhs   </t>
  </si>
  <si>
    <t>₹ 700 Lakhs</t>
  </si>
  <si>
    <t>Windsor Machines Limited (Basic)</t>
  </si>
  <si>
    <t>Windsor Machines Limited (Diluted)</t>
  </si>
  <si>
    <t>1. Funding our working capital requirements Rs 685.41 Lakhs*
2. General corporate purposes Rs 119.90 Lakhs
3. Issue Expenses Rs 150 Lakhs</t>
  </si>
  <si>
    <t>*An unutilized amount of Rs. 35.48 Lacs is lying in Escrow Public Issue Account.</t>
  </si>
  <si>
    <r>
      <t>Source: Prospectus and  Information submitted by the Company</t>
    </r>
    <r>
      <rPr>
        <i/>
        <sz val="16"/>
        <color rgb="FFFF0000"/>
        <rFont val="Times New Roman"/>
        <family val="1"/>
      </rPr>
      <t xml:space="preserve"> </t>
    </r>
  </si>
  <si>
    <t>PATEL RETAIL LIMITED</t>
  </si>
  <si>
    <t>Offer size</t>
  </si>
  <si>
    <t>Rs. 24,265.80 Lakhs</t>
  </si>
  <si>
    <t>94.75 times (after techinal rejection)</t>
  </si>
  <si>
    <t>(ii) at the end of the 1st Quarter immediately after the listing of the issue (September 30, 2025)</t>
  </si>
  <si>
    <t>(i) allotment in the Offer</t>
  </si>
  <si>
    <t>(iii) at the end of 1st FY (2025-2026)</t>
  </si>
  <si>
    <t>(iv) at the end of 2nd FY (2026-27)</t>
  </si>
  <si>
    <t>(v) at the end of 3rd FY (2027-28)</t>
  </si>
  <si>
    <t>1st FY (2025-26)</t>
  </si>
  <si>
    <t>2nd FY (2026-27)</t>
  </si>
  <si>
    <t>3rd FY (2027-28)</t>
  </si>
  <si>
    <t>The equity shares of Patel Retail Limited are listed on both the National Stock Exchange of India Limited ("NSE")  and BSE Limited ("BSE")(and together with
NSE "Stock Exchanges")</t>
  </si>
  <si>
    <t xml:space="preserve">* Note:The Company was listed on August 26, 2025. </t>
  </si>
  <si>
    <t>1. Repayment/prepayment, in full or part, of certain borrowings availed by our Company
2. Funding of working capital requirements of the Company
3. General Corporate Purposes</t>
  </si>
  <si>
    <t>1. Repayment/prepayment, in full or part, of certain borrowings availed by our Company - 5,900.00 (₹ in Lakhs)
2. Funding of working capital requirements of the Company -10,900.02 (₹ in Lakhs)
3. General Corporate Purposes - 2,247.85 (₹ in Lakhs)</t>
  </si>
  <si>
    <t>Rs. 255/-</t>
  </si>
  <si>
    <t>Offer price (Rs):</t>
  </si>
  <si>
    <t>At close of listing day (August 26, 2025)</t>
  </si>
  <si>
    <t>Issuer: Patel Retail Limited</t>
  </si>
  <si>
    <t>Vishal Mega Mart</t>
  </si>
  <si>
    <t>Avenue Supermarts Limited</t>
  </si>
  <si>
    <t>Spencers Retail Limited</t>
  </si>
  <si>
    <t>Osia Hyper Retail Limited</t>
  </si>
  <si>
    <t>Aditya Consumer Marketing Limited</t>
  </si>
  <si>
    <t>Sheetal Universal Limited</t>
  </si>
  <si>
    <t>Kovilpatti Lakshmi Roller Flour Mills Limited</t>
  </si>
  <si>
    <t>KN Agri Resources Limited</t>
  </si>
  <si>
    <t>Madhusudhan Masala Limited</t>
  </si>
  <si>
    <t>***Source:  Prospectus dated August 21, 2025 based on restated financial statement  for the period ended on March 31, 2025, March 31, 2024 and March 31, 2023</t>
  </si>
  <si>
    <t>Note: Since the company's shares were listed on August 26, 2025  we are considering 12 months period ended March 31, 2026  as the 1st Financial Year.</t>
  </si>
  <si>
    <t xml:space="preserve">RUKMANI DEVI GARG AGRO IMPEX LIMITED </t>
  </si>
  <si>
    <t>Initial Public Offering (IPO) on the SME Platform of BSE Limited (“BSE SME”)</t>
  </si>
  <si>
    <t>₹ 2352.24 lakhs</t>
  </si>
  <si>
    <t xml:space="preserve">28.37 times (after technical rejection) </t>
  </si>
  <si>
    <t xml:space="preserve">* Note:The Company was listed on October 06, 2025. </t>
  </si>
  <si>
    <t>1. Funding our working capital requirements
2. General Corporate Purpose</t>
  </si>
  <si>
    <t>1. Funding our working capital requirements - 1650.00  (₹ in lakhs)
2. General Corporate Purpose - 352.00 (₹ in lakhs)</t>
  </si>
  <si>
    <r>
      <rPr>
        <sz val="16"/>
        <color theme="1"/>
        <rFont val="Times New Roman"/>
        <family val="1"/>
      </rPr>
      <t>Source : Prospectus and B</t>
    </r>
    <r>
      <rPr>
        <sz val="16"/>
        <rFont val="Times New Roman"/>
        <family val="1"/>
      </rPr>
      <t xml:space="preserve">SE website </t>
    </r>
  </si>
  <si>
    <t xml:space="preserve">Source : Prospectus and BSE website </t>
  </si>
  <si>
    <t>Rs.99/-</t>
  </si>
  <si>
    <t>At close of listing day (October 6, 2025)</t>
  </si>
  <si>
    <t>NHC Foods Limited</t>
  </si>
  <si>
    <t>Neelkanth Limited</t>
  </si>
  <si>
    <t>Issuer: Rukmani Devi Garg Agro Impex Limited</t>
  </si>
  <si>
    <t>***Source:  Prospectus dated September 30, 2025 based on restated financial statement  for the period ended on March 31, 2025, March 31, 2024 and March 31, 2023</t>
  </si>
  <si>
    <t>Note: Since the company's shares were listed on October 06, 2025  we are considering 12 months period ended March 31, 2026 as the 1st Financial Year.</t>
  </si>
  <si>
    <t>1. Funding our working capital requirements Rs 1569 Lakhs
2. General corporate purposes Rs 545 Lakhs
3. Issue Expenses Rs 354 Lakhs</t>
  </si>
  <si>
    <t xml:space="preserve">1.Funding working capital requirements of our Company Rs.260 Lakhs                                                                                                            
2.General Corporate Purpose Rs.118                                                                                                                                                                  
3.Issue Related Expenses Rs.98                                              
</t>
  </si>
  <si>
    <t>1.Funding capital expenditure towards expansion of our existing manufacturing facility at Plot No. 110/1,110/2, New Survey No. 202, Village Ganeshpura, Mehsana, Gujarat, India  Rs.2000 Lakhs 
2. Funding our working capital requirements- Rs.350 Lakhs
3. General Corporate purposes 77.72 Lakhs
4. Issue Expenses Rs. 498 Lakhs</t>
  </si>
  <si>
    <t>Source:  Prospectus and National Stock Exchange of India Limited  website (CA certificate dated November 12, 2025 and statement of deviation dated November 14, 2024 and May 29, 2025)</t>
  </si>
  <si>
    <t>Source:  Prospectus and National Stock Exchange of India Limited website (CA certificate dated November 12, 2025 and statement of deviation dated November 14, 2024 and May 29, 2025)</t>
  </si>
  <si>
    <t>Source: Prospectus and National Stock Exchange of India Limited   website (statement of deviation dated February 14, 2025, November 14, 2024 and August 13, 2024)</t>
  </si>
  <si>
    <t>-</t>
  </si>
  <si>
    <t>*Amount of ~8.21 lakhs remain parked in ICICI Escrow Account as of the reporting date and will be utilized shortly towards general corporate purposes.</t>
  </si>
  <si>
    <t>1. To meet working capital requirements- Rs. 260 lakhs
2. General Corporate Purpose and Issue related expenses- Rs. 205.88 Lakhs</t>
  </si>
  <si>
    <t xml:space="preserve">1. To meet working capital requirements- Rs. 260 lakhs
2. General Corporate Purpose and Issue related expenses- Rs. 205.88 Lakhs
</t>
  </si>
  <si>
    <t xml:space="preserve">1.To meet the working capital requirements Rs.500 Lakhs
2. General corporate purposes and Issue Expenses Rs.272.68.00 Lakhs*
</t>
  </si>
  <si>
    <t>Source : Prospectus and National Stock Exchange of India Limited   website (statement of deviation dated November 14, 2025, May 30, 2025 December 4, 2024 and June 01, 2024)</t>
  </si>
  <si>
    <t xml:space="preserve">1.Funding working capital requirements of our Company Rs.1200 Million
2.Investment in our Associate, viz. Ento Proteins Private Limited, for funding its working capital requirements Rs.100 Million                                                
   3. General Corporate Purpose Rs. 558.08 Million                                                         4. Issue Expences Rs.381.92 Million
</t>
  </si>
  <si>
    <t xml:space="preserve">1.Funding working capital requirements of our Company Rs.1200 Million
2.Investment in our Associate, viz. Ento Proteins Private Limited, for funding its working capital requirements Rs. 100 Million 
3. General Corporate Purpose Rs. 558.08 Million* </t>
  </si>
  <si>
    <t>(ii) at the end of the 1st Quarter immediately after the listing of the issue December 31, 2025)</t>
  </si>
  <si>
    <t>Virtuoso Optoelectronics Limited</t>
  </si>
  <si>
    <t>Yasons Chemex Care Limited</t>
  </si>
  <si>
    <t>Source :  Prospectus and National Stock Exchange of India Limited  website (statement of deviation dated May 12, 2025,  November 14, 2024 , May 06, 2024 and November 18, 2023)</t>
  </si>
  <si>
    <t>1. Purchase of Software Rs. 500 Lakhs                                       
2. To meet working capital requirements Rs. 500 Lakhs         3.General corporate purpose Rs.243 Lakhs</t>
  </si>
  <si>
    <t>1. Purchase of Software Rs. 500 Lakhs                                       
2. To meet working capital requirements Rs. 500 Lakhs         3.General corporate purpose Rs.234.79* Lakhs</t>
  </si>
  <si>
    <t>1. Purchase of Software Rs. 500 Lakhs                                      
 2. To meet working capital requirements Rs. 500 Lakhs        
 3.General corporate purpose Rs.243 Lakhs</t>
  </si>
  <si>
    <t xml:space="preserve">1.Funding the incremental working capital requirements of our Company Rs.424.00 Lakhs
2.General Corporate Purpose Rs.174.00 Lakh                                                                                                                                                       </t>
  </si>
  <si>
    <t xml:space="preserve">1.Funding the incremental working capital requirements of our Company Rs.424.00 Lakhs
2.General Corporate Purpose Rs.174.00 Lakh                                                                                                                                                      </t>
  </si>
  <si>
    <t xml:space="preserve">1. Repayment/prepayment, in full or part, of certain borrowings availed of by our Company
2. Funding of working capital requirements of the Company
3. General Corporate Purposes
4. Issue Expenses </t>
  </si>
  <si>
    <t>1. Repayment/prepayment, in full or part, of certain borrowings availed of by our Company- Rs. 300 million
2. Funding of working capital requirements of the Company- Rs. 1119.56 million
3. General Corporate Purposes- Rs. 497. 61 million
4. Issue Expenses - Rs 254.84 million</t>
  </si>
  <si>
    <t>1. Repayment/prepayment, in full or part, of certain borrowings availed of by our Company- Rs.300  million
2. Funding of working capital requirements of the Company- Rs. 1119.56 million
3. General Corporate Purposes- Rs. 497. 61 million
4. Issue Expenses - Rs 254.84 million</t>
  </si>
  <si>
    <t>(iii) at the end of 1st FY (2025-26)</t>
  </si>
  <si>
    <t>(v) at the end of 3rd FY (2027-28))</t>
  </si>
  <si>
    <t>As at the end of 1st FY after the listing of the issue (2025-26)</t>
  </si>
  <si>
    <t>As at the end of 2nd FY after the listing of the issue (2026-27)</t>
  </si>
  <si>
    <t>As at the end of 3rd FY after the listing of the issue (2027-28)</t>
  </si>
  <si>
    <t>Source: Prospectus and BSE website (Revised Integrated filling dated December 20, 2025 and Statement of Deviation dated December 20, 2025, revised statement of deviation dated June 24, 2025, Integrated filling dated June 02, 2025 and statement of deviation dated May 31, 2025)</t>
  </si>
  <si>
    <t>Appointment of Mr. Bhaveshkumar Rajnikant Shah (DIN – 11543617) as an Additional Independent Director of the Company</t>
  </si>
  <si>
    <t>1. Re-appointment of Mr. Sanket Lamba 
2. Appointment of Mr. Aditya Vikrambhai Patel as an Independent Director of the Company
3. Appointment of Mr. Aditya Vikrambhai Patel as an Additional Director
4. Resignation of Mr. Dalpat Chand Mehta as an Independent Director.</t>
  </si>
  <si>
    <t>Re-appointment of Ms. Mallika Mukesh Gupta who retires by rotation , offers herself for re-appointment.</t>
  </si>
  <si>
    <t>Re-appointment of Mr. Rajan Shivram Mote</t>
  </si>
  <si>
    <t xml:space="preserve">1. Appointment of Mr. Gurdeep Singh  as Non-Executive, Non- Independent Director 
2. Appointment of Mr. Gurdeep Singh  as an Additional Director 
3. Reappointment of  Mr. Avinash Joshi 
4. Appointment of Mr. Lovansh Gupta as an Independent Director
5. Appointment of Mr.Lovansh Gupta  as an Additional Independent Director 
6. Resignation of Mr. Rahul Sharma as Non-Executive Director </t>
  </si>
  <si>
    <t xml:space="preserve">1. Reappointment of Nitin Bharal as Executive, Non-Independent Director 
2. Appointment of Mr. Satpal Kumar Arora  as an Independent Director
3. Appointment of Mr.Satpal Kumar Arora  as Additional Director (Non-Executive &amp; Independent Director) </t>
  </si>
  <si>
    <t xml:space="preserve">Re-appointment of Ms. Milli Shah </t>
  </si>
  <si>
    <t xml:space="preserve">Re-appointment of  Mrs. Hansa Shah </t>
  </si>
  <si>
    <t xml:space="preserve">Reappointment of Mr. Mansukhbhai Kunvarjibhai Patel </t>
  </si>
  <si>
    <t>1. Reappointment of Mr. Paulson Paul Thazhathedath as Whole Time Director</t>
  </si>
  <si>
    <t xml:space="preserve"> Reappointment of  Mrs. Paramjit Harjaspal Baweja as a Director </t>
  </si>
  <si>
    <t>1. Appointment of Mrs. Kavita Khatri as non-executive independent director of the company
2. Appointment of Mr. Mitulkumar Kiritbhai Suthar as non-executive independent director of the company
3.  Appointment of Mrs. Kavita Khatri as an Additional (Non-Executive Independent) Director of the Company for a period
of five years w.e.f. January 06, 2026.
4. Appointment of Mr. Mitulkumar Kiritbhai Suthar as an Additional (Non-Executive Independent) Director of the Company for a period of
five years w.e.f. January 06, 2026 
5. Resignation of Mrs Mona Yatinkumar Patel as Non- Executive Independent Director of the company w.e.f. December 16, 2025
6.Appointment of Mr. Bharatkumar Tulshibhai Patel
7. Resignation of Mr. Anilkumar Radheshyam Singh, Non-executive Director of the Company  w.e.f. August 23, 2025.</t>
  </si>
  <si>
    <t>1. Reappointment of Mr. Jaydev Ramesh Betai
2.  Appointment of Mr. Rabindra Kishan De as the Director
3.  Cessation of Mr. Ranajit Anilkumar Dey as Non- Executive Director of the company w.e.f. Jun 23, 2025.</t>
  </si>
  <si>
    <t>1. Re-appointment of Kalandan Mohammad Arif
2. Re-appointment of Mrs. Umaiyya Banu</t>
  </si>
  <si>
    <t>1. Re-appointment of Mr. Kalandan Mohammed Althaf
2. Re-appointment of Mr. Kaladan Abdul Razak</t>
  </si>
  <si>
    <t xml:space="preserve"> frequently traded</t>
  </si>
  <si>
    <t>Continuation of Mr. Bechar Raghavji Patel as Whole-time Director of the Company beyond the age of 70 Years</t>
  </si>
  <si>
    <t>1. Repayment/prepayment, in full or part, of certain borrowings availed by our Company - 5,900.00 (₹ in Lakhs)
2. Funding of working capital requirements of the Company -11500.00(₹ in Lakhs)
3. General Corporate Purposes - 1121.00 (₹ in Lakhs)</t>
  </si>
  <si>
    <t>Source : Prospectus and NSE website ( Statement of deviation dated May 29, 2026 and Monitoring Agency Report Dated February 2, 2026 and November 13, 2025)</t>
  </si>
  <si>
    <t>Source : Prospectus and NSE website (  Statement of deviation dated May 29, 2026 and Monitoring Agency Report Dated February 2, 2026 and November 13, 2025)</t>
  </si>
  <si>
    <r>
      <t>1. Funding towards the expansion of our manufacturing facility situated at Village Zaroli, Umbergaon Valsad, Gujarat,
Bharat- Rs.  488.66 Lakh
2. Funding the working capital requirements of our Company-Rs. 1,400.00 Lakh
3. General corporate purp</t>
    </r>
    <r>
      <rPr>
        <sz val="16"/>
        <color theme="1" tint="4.9989318521683403E-2"/>
        <rFont val="Times New Roman"/>
        <family val="1"/>
      </rPr>
      <t>oses including issues expense-Rs. 258.52 Lakh</t>
    </r>
  </si>
  <si>
    <r>
      <t xml:space="preserve">Source : Prospectus and </t>
    </r>
    <r>
      <rPr>
        <i/>
        <sz val="16"/>
        <rFont val="Times New Roman"/>
        <family val="1"/>
      </rPr>
      <t>NSE website (Integrated Filing dated November 10, 2025 and CA Certificate dated May 19, 2026 and May 28, 2025)</t>
    </r>
  </si>
  <si>
    <t>1. Funding towards the expansion of our manufacturing facility situated at Village Zaroli, Umbergaon Valsad, Gujarat,
Bharat- Rs.  488.66 Lakh
2. Funding the working capital requirements of our Company-Rs. 1,400.00 Lakh
3. General corporate purposes including issues expense-Rs. 258.52 Lakh</t>
  </si>
  <si>
    <t>Source : Prospectus and NSE website (Integrated Filing dated November 10, 2025 and CA Certificate dated May 19, 2026 and May 28, 2025)</t>
  </si>
  <si>
    <t>Reappointment of Mr Hardik Sanghvi</t>
  </si>
  <si>
    <t>Reappointment of Deepak Kumar Singal
Continuation of term of appointment of Mr. Harnam Singh Khosa who will attain the age of 70 years</t>
  </si>
  <si>
    <t>1. Repayment/prepayment, in full or part, of certain borrowings availed of by our Company- Rs. 300 million
2. Funding of working capital requirements of the Company- Rs. 1119.56 million
3. General Corporate Purposes- Rs. 542.65  million*
4. Issue Expenses - Rs 209.21 million</t>
  </si>
  <si>
    <t xml:space="preserve">Note:During the quarter ended March 31, 2026, issue proceeds amounting to Rs. 0.655 million were utilised towards issue expenses
related to fresh issue. Of this, Rs. 0.340 million was directly utilised from the Company’s Public Issue account, while the remaining
Rs. 0.315 million was utilised from the Company’s PNB cash credit account, representing the balance carried forward from the
previous quarter. </t>
  </si>
  <si>
    <t>Source : Prospectus and NSE website (  monitoring agency report dated May 15, 2026 and statement of deviation uploaded on May 30, 2026 and February 13, 2026 and monitoring agency report uploaded on  November 14, 2025, August 14, 2025 statement of deviation dated May 30 , 2025)</t>
  </si>
  <si>
    <t>1. Repayment/prepayment, in full or part, of certain borrowings availed of by our Company- Rs. 300 million
2. Funding of working capital requirements of the Company- Rs. 1119.56 million
3. General Corporate Purposes- Rs. 542.65  million
4. Issue Expenses - Rs 209.21 million</t>
  </si>
  <si>
    <t>Source : Prospectus and NSE website  (monitoring agency report dated May 15, 2026 and statement of deviation uploaded on May 30, 2026, February 13, 2026 and  monitoring agency report uploaded on November 14, 2025, August 14, 2025 and statement of deviation dated May 30, 2025)</t>
  </si>
  <si>
    <t>Reappointment of Mr. Prayagdatt Vijaykumar Mishra</t>
  </si>
  <si>
    <t>1. Funding our working capital requirements ₹ 2,166.30  Lakhs
2. General Corporate Purposes ₹ 830.00 Lakhs</t>
  </si>
  <si>
    <t>Source : Prospectus and NSE website (CA Certificate dated May 22, 2026, November 13, 2025 and May 17, 2025)</t>
  </si>
  <si>
    <t>Source: Prospectus and NSE website (CA Certificate dated May 22, 2026, November 13, 2025 and May 17, 2025)</t>
  </si>
  <si>
    <t>Cemindia Projects Limited (ITD Cementation India Limited)</t>
  </si>
  <si>
    <t>Source :  Prospectus and National Stock Exchange of India Limited  website (Statement of deviation uploaded on May 29, 2026 and Auditor Certificate on statement of deviation dated October13, 2025 and May 24, 2025 attached along with financials statement for half year ended September 30, 2025 and year ended March 31, 2025, May 21, 2024 and November 12, 2024 , November 11, 2023 )</t>
  </si>
  <si>
    <t>2,22.5.90</t>
  </si>
  <si>
    <t>Source :  Prospectus and National Stock Exchange of India Limited  website (statement of deviation dated May 30, 2026, November 14, 2025, July 1, 2025 and October 29, 2024)</t>
  </si>
  <si>
    <t>Source :  Prospectus and National Stock Exchange of India Limited  website (statement of deviation dated May 30, 2026, November 14, 2025, July 1, 2025 and  October 29, 2024)</t>
  </si>
  <si>
    <t>Refer note below*</t>
  </si>
  <si>
    <t>* Company is undergoing Corporate Insolvency Resolution Process as disclosed on the BSE website</t>
  </si>
  <si>
    <t>Source : Prospectus and BSE website (Integrated Filing dated May 18, 2026, November 11, 2025, statement of deviation dated May 29, 2024, November 14, 2024 and May 28, 2025)</t>
  </si>
  <si>
    <t xml:space="preserve">1. Purchase of medical equipment Rs 728.76 Lakhs
2. General corporate purposes Rs 100.24 Lakhs
3. Issue Expenses Rs 48.50 Lakhs </t>
  </si>
  <si>
    <t>Source : Prospectus and BSE website (ntegrated Filing dated May 18, 2026, November 11, 2025, statement of deviation dated May 29, 2024, November 14, 2024 and May 28, 2025)</t>
  </si>
  <si>
    <t>3.Closing Price of previous trading day is considered wherever applicable. The last trading date of the Issuer company  was  on March 28, 2024, March 28, 2025 and March 30, 2026 for FY 2023-24, 2024-25 and 2025-26</t>
  </si>
  <si>
    <t>Closing Price of previous trading day is considered wherever applicable. The last trading date of the Issuer company  was  on March 28, 2024, March 28, 2025 and March 30, 2026 for FY 2023-24, 2024-25 and 2025-26</t>
  </si>
  <si>
    <t>3.Closing Price of previous trading day is considered wherever applicable. The last trading date of the Issuer company  was  on March 28, 2024,  March 28, 2025 and March 30, 2026 for FY 2023-24, 2024-25 and 2025-26</t>
  </si>
  <si>
    <t>Closing Price of previous trading day is considered wherever applicable. The last trading date of the Issuer company  was  on March 28, 2024,  March 28, 2025 and March 30, 2026 for FY 2023-24, 2024-25 and 2025-26</t>
  </si>
  <si>
    <t>3.Closing Price of previous trading day is considered wherever applicable. The last trading date of the Issuer company was on March 28, 2024,  March 28, 2025 and March 30, 2026 for FY 2023-24, 2024-25 and 2025-26</t>
  </si>
  <si>
    <t xml:space="preserve">As disclosed in the offer document***  </t>
  </si>
  <si>
    <t xml:space="preserve">At the end of 3rd  FY </t>
  </si>
  <si>
    <t xml:space="preserve">Shemaroo Entertainment Limited </t>
  </si>
  <si>
    <t>Eros International Media Limited( consolidated)</t>
  </si>
  <si>
    <t>Closing Price of previous trading day is considered wherever applicable. The last trading date of the Issuer company was on March 28, 2024,  March 28, 2025 and March 30, 2026 for FY 2023-24, 2024-25 and 2025-26</t>
  </si>
  <si>
    <t xml:space="preserve">1.Funding capital expenditure towards expansion of our existing manufacturing facility at Plot No. 110/1,110/2, New Survey No.
202, Village Ganeshpura, Mehsana, Gujarat, India
2.Funding our Working Capital Requirements                         3. General Corporate Purpose                               4. Issue Expenses
</t>
  </si>
  <si>
    <r>
      <t>Refer below</t>
    </r>
    <r>
      <rPr>
        <b/>
        <sz val="16"/>
        <color theme="1"/>
        <rFont val="Times New Roman"/>
        <family val="1"/>
      </rPr>
      <t>#</t>
    </r>
  </si>
  <si>
    <t># Tayo Rolls Limited is under CIRP as published on BSE website</t>
  </si>
  <si>
    <t>Re-appointment of Mrs. Varsha Mukesh Mehta as Director
Re-appointment of Mrs. Bindi Kunal Mehta as Managing Director
Re-appointment of Mr. Vedant Mukesh Mehta as Whole Time Director
Re-appointment of Mrs. Varsha Mukesh Mehta as Whole Time Director</t>
  </si>
  <si>
    <t>Source: Prospectus and  BSE website ( financial results dated May 28, 2026, November 13, 2025, May 30, 2025, integrated filling dated November 13, 2025, May 31, 2025  and statement of deviation dated May 30, 2024 )</t>
  </si>
  <si>
    <t>5. Closing price for year 2025-26 is considered as on March 27,2026</t>
  </si>
  <si>
    <t>Shiv Aum Steels Limited (standalone)</t>
  </si>
  <si>
    <t>QIB holding (as a % of total outstanding capital) as disclosed to stock exchanges (See Regulation 31 of the SEBI (Listing Obligations &amp; Disclosure Requirements) , 2015</t>
  </si>
  <si>
    <t>Re-appointment of Mr. Jigar Vinodbhai Sheth as Director</t>
  </si>
  <si>
    <t xml:space="preserve">1.Purchase of Vehicle and Body Building Rs.409.51 Lakhs                                   
2.Finance the Website and App Designing Rs.48.88 Lakhs                                                                                                                                
3.General Corporate Purpose Rs.46.01 Lakhs                                                                                                                                                     
4.Issue Related Expenses Rs.56 Lakhs                                              
</t>
  </si>
  <si>
    <t xml:space="preserve">Re-appointment of Mr. Aneesh Mathur as Director
Appointment of Ms. Monam Kapoor as additional Non-Executive Independent Director w.e.f. November 17, 2025
Resignation of Mr. Chirag Mittal as Non-Executive Independent Director w.e.f. November 17, 2025
Appointment of Mr. Ish Sadana as additional Non-Executive Independent Director w.e.f. february 3, 2026
Resignation of Ms. Drashtiben Prafulbhai Dedaniya as Non-Executive Independent Director w.e.f. february 3, 2026
Regularisation of Ms. Monam Kapoor as Non-Executive Independent Director
Regularisation of Mr. Ish Sadana as Non-Executive Independent Director </t>
  </si>
  <si>
    <t xml:space="preserve">1. Purchase of Software                                        2. To meet working capital requirements          3.General corporate purpose </t>
  </si>
  <si>
    <t>Source:  Prospectus and BSE website (Integrated filling dated May 28, 2026, June 02, 2025 and statement of deviation dated May 28, 2026, November 12, 2025, November 20, 2024)</t>
  </si>
  <si>
    <t>5. Closing price for year 2025-26 is considered as on March 30,2026</t>
  </si>
  <si>
    <t>Re-appointment of Mr. Vipinchandra Somalal Modi as Director</t>
  </si>
  <si>
    <t>5. Closing price for year 2025-26 is considered as on March 30, 2026</t>
  </si>
  <si>
    <t xml:space="preserve">As disclosed in the offer document*** </t>
  </si>
  <si>
    <t>Re-appointment of Mrs. Dhyuti Krupesh Joshi as Director</t>
  </si>
  <si>
    <t>1. Purchase of Machineries - Rs. 194.95 Lkahs
2. Development of Medical Tourism Web Portal- Rs. 48.00 Lakhs
3.General Corporate Purpose- Rs. 19.55 Lakhs
4. IPO Expenses- Rs. 45.00 Lakhs</t>
  </si>
  <si>
    <t>Source : Prospectus and BSE website (statement of deviation dated May 21, 2026, November 14, 2025, May 30, 2025 and November 14, 2024)</t>
  </si>
  <si>
    <t>5. Closing price for year 2025-26 is considered as on March 09, 2026</t>
  </si>
  <si>
    <t>Resignation of Mrs. Khushbu Jignesh Shah , as Non-Executive-Independent Director w.e.f. June 20, 2025
Appointment of Mrs. Dhwani Jaspalsinh Solanki as an Additional (Non-Executive, Independent) Director of the Company with effect from July 01, 2025
Resignation of Mr. Parthivkumar Bharatbhai Barad as Non-Executive, Independent Director w.e.f. July 21, 2025
Appointment of Ms. Krishna Hareshbhai Bhatt as an Additional (Non-Executive, Independent) Director of the Company with effect from July 26, 2025
Re-appointment of Mr. Ketan Suryakantbhai Thakkar as Executive Director
Appointment of Mrs. Dhwani Jaspalsinh Solanki (DIN: 10299290) as Non-Executive Independent Director of the Company
Appointment of Ms. Krishna Hareshbhai Bhatt (DIN: 11203423) as Non-Executive Independent Director of the Company</t>
  </si>
  <si>
    <t>1.Purchase of machineries ₹ 338.43
2.Funding our Working Capital Requirements ₹ 300.00 Lakhs
3.General Corporate Purposes ₹ 141.26  Lakh
4. Issue related expenses  ₹ 59.92  Lakh</t>
  </si>
  <si>
    <t>Source : Prospectus and National Stock Exchange of India Limited   website (statement of deviation dated May 27, 2026, November 14, 2025, May 27, 2025 and November 14, 2024)</t>
  </si>
  <si>
    <t>1.Purchase of machineries ₹338.43
2.Funding our Working Capital Requirements ₹ 300.00 Lakhs
3.General Corporate Purposes ₹ 141.26  Lakh
4. Issue related expenses  ₹ 59.92  Lakh</t>
  </si>
  <si>
    <t>Appointment of Ms. Dibvaya Raha as an Additional Non-Executive Non Independent Director w.e.f. August 1, 2025
Re-appointment of Mr. Shantanu Banerjee as Director
Appointment of Ms. Dibyava Raha as a Non-Executive Non-Independent Director of the Company 
Resignation of Mr. Santanu Banerjee as Director of the Company</t>
  </si>
  <si>
    <t>1. Meeting working capital requirements - Rs. 395.00 Lakhs
2. Marketing and Business Promotions - Rs. 102.00 Lakhs
3. General corporate purposes- Rs. 76.84 Lakhs
4. Issue Related expense- Rs. 120.00 lakhs</t>
  </si>
  <si>
    <t>Source : Prospectus and BSE website (statement of deviation dated May 29, 2026, November 14, 2025, May 29, 2025 and November 13, 2024)</t>
  </si>
  <si>
    <t>1. Meeting working capital requirements - Rs. 395.00 Lakhs 
2. Marketing and Business Promotions - Rs. 102.00 Lakhs
3. General corporate purposes- Rs. 86.30 Lakhs
4. Issue Related expense- Rs. 120 Lakhs</t>
  </si>
  <si>
    <t>1. Meeting working capital requirements - Rs. 395.00 Lakhs
2. Marketing and Business Promotions - Rs. 101.00 Lakhs
3. General corporate purposes- Rs. 76.84 Lakhs
4. Issue Related expense- Rs. 120.00 lakhs</t>
  </si>
  <si>
    <t>Please refer note below*</t>
  </si>
  <si>
    <t>3.Closing Price of previous trading day is considered wherever applicable. The last trading date of the Issuer company  was  on March 28, 2024,  March 28, 2025 and March 25, 2026 for FY 2023-24, 2024-25 and 2025-26</t>
  </si>
  <si>
    <t>Closing Price of previous trading day is considered wherever applicable. The last trading date of the Issuer company  was  on March 28, 2024,  March 28, 2025 and March 25, 2026 for FY 2023-24, 2024-25 and 2025-26</t>
  </si>
  <si>
    <t>Unutilized amount of Rs. 7.08 Lakhs is lying in Public Issue Account of the Company</t>
  </si>
  <si>
    <t>*As per statement of deviation dated November 14, 2025 (Due to technical error on Stock Exchange we were unable to open Integrated financials for March 2026)</t>
  </si>
  <si>
    <t>1.To meet the working capital requirements Rs.500 Lakhs
2. General corporate purposes and Issue Expenses Rs.273.00 Lakhs*</t>
  </si>
  <si>
    <t>*Will be updated once company files financials with Stock Exchange</t>
  </si>
  <si>
    <t>**Source:  Prospectus dated April 01, 2024 based on restated financial statement  for the period ended on March 31, 2023 and stub period ended September 30, 2023, March 31, 2022, and March 31, 2021</t>
  </si>
  <si>
    <t>As disclosed in the offer document**</t>
  </si>
  <si>
    <t>The unutilised funds of Rs. 9.46 lakhs from IPO proceed have been kept with ICICI Bank in Escrow Account. Further, as per the statement of deviation dated May 29, 2026, the Company has inadvertantly mentioned GCP as Rs. 86.30 crores instead of Rs. 86.30 Lakhs and Issue related expenses as Rs. 120 crores instead of Rs. 120 Lakhs.</t>
  </si>
  <si>
    <t>*The financials for the said period are yet to be uploaded by the Company team. Further, as mentioned under the Corporate announcements on the NSE portal, the uploading of the financials have been delayed due to pending completion of audit by auditors and the unavailability of the key personnel responsible for finalising the financial statements and accounting data on account of  emergency leave, resulting in the audit remaining incomplete.</t>
  </si>
  <si>
    <t>will be updated*</t>
  </si>
  <si>
    <t>*Company has not uploaded statement of deviation along with the financial staements.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</si>
</sst>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 #,##0.00_);_(* \(#,##0.00\);_(* &quot;-&quot;??_);_(@_)"/>
    <numFmt numFmtId="165" formatCode="0.000"/>
  </numFmts>
  <fonts count="20" x14ac:knownFonts="1">
    <font>
      <sz val="11"/>
      <color theme="1"/>
      <name val="Calibri"/>
      <family val="2"/>
      <scheme val="minor"/>
    </font>
    <font>
      <b/>
      <u/>
      <sz val="16"/>
      <name val="Times New Roman"/>
      <family val="1"/>
    </font>
    <font>
      <sz val="16"/>
      <color theme="1"/>
      <name val="Times New Roman"/>
      <family val="1"/>
    </font>
    <font>
      <b/>
      <sz val="16"/>
      <color theme="1"/>
      <name val="Times New Roman"/>
      <family val="1"/>
    </font>
    <font>
      <b/>
      <sz val="16"/>
      <name val="Times New Roman"/>
      <family val="1"/>
    </font>
    <font>
      <sz val="16"/>
      <name val="Times New Roman"/>
      <family val="1"/>
    </font>
    <font>
      <i/>
      <sz val="16"/>
      <name val="Times New Roman"/>
      <family val="1"/>
    </font>
    <font>
      <b/>
      <i/>
      <sz val="16"/>
      <name val="Times New Roman"/>
      <family val="1"/>
    </font>
    <font>
      <b/>
      <sz val="16"/>
      <color rgb="FFFF0000"/>
      <name val="Times New Roman"/>
      <family val="1"/>
    </font>
    <font>
      <b/>
      <sz val="16"/>
      <color theme="1" tint="4.9989318521683403E-2"/>
      <name val="Times New Roman"/>
      <family val="1"/>
    </font>
    <font>
      <i/>
      <sz val="16"/>
      <color theme="1"/>
      <name val="Times New Roman"/>
      <family val="1"/>
    </font>
    <font>
      <b/>
      <sz val="16"/>
      <color indexed="8"/>
      <name val="Times New Roman"/>
      <family val="1"/>
    </font>
    <font>
      <i/>
      <sz val="16"/>
      <color indexed="8"/>
      <name val="Times New Roman"/>
      <family val="1"/>
    </font>
    <font>
      <b/>
      <i/>
      <sz val="16"/>
      <color theme="1"/>
      <name val="Times New Roman"/>
      <family val="1"/>
    </font>
    <font>
      <sz val="11"/>
      <color theme="1"/>
      <name val="Calibri"/>
      <family val="2"/>
      <scheme val="minor"/>
    </font>
    <font>
      <b/>
      <u/>
      <sz val="16"/>
      <color theme="1"/>
      <name val="Times New Roman"/>
      <family val="1"/>
    </font>
    <font>
      <i/>
      <sz val="16"/>
      <color rgb="FFFF0000"/>
      <name val="Times New Roman"/>
      <family val="1"/>
    </font>
    <font>
      <sz val="16"/>
      <color rgb="FFFF0000"/>
      <name val="Times New Roman"/>
      <family val="1"/>
    </font>
    <font>
      <sz val="16"/>
      <color theme="1" tint="4.9989318521683403E-2"/>
      <name val="Times New Roman"/>
      <family val="1"/>
    </font>
    <font>
      <sz val="9"/>
      <color rgb="FF000000"/>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theme="1"/>
      </left>
      <right style="thin">
        <color theme="1"/>
      </right>
      <top style="thin">
        <color theme="1"/>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249977111117893"/>
      </top>
      <bottom/>
      <diagonal/>
    </border>
    <border>
      <left/>
      <right style="thin">
        <color theme="0" tint="-0.249977111117893"/>
      </right>
      <top/>
      <bottom/>
      <diagonal/>
    </border>
    <border>
      <left style="thin">
        <color theme="0" tint="-0.249977111117893"/>
      </left>
      <right/>
      <top style="thin">
        <color theme="0" tint="-0.249977111117893"/>
      </top>
      <bottom/>
      <diagonal/>
    </border>
    <border>
      <left/>
      <right/>
      <top style="thin">
        <color theme="0" tint="-0.249977111117893"/>
      </top>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right/>
      <top style="thin">
        <color theme="1"/>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bottom style="thin">
        <color theme="1"/>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theme="1"/>
      </bottom>
      <diagonal/>
    </border>
    <border>
      <left/>
      <right style="thin">
        <color indexed="64"/>
      </right>
      <top style="thin">
        <color indexed="64"/>
      </top>
      <bottom style="thin">
        <color theme="1"/>
      </bottom>
      <diagonal/>
    </border>
    <border>
      <left style="thin">
        <color theme="1"/>
      </left>
      <right/>
      <top style="thin">
        <color theme="1"/>
      </top>
      <bottom style="thin">
        <color indexed="64"/>
      </bottom>
      <diagonal/>
    </border>
    <border>
      <left/>
      <right style="thin">
        <color theme="1"/>
      </right>
      <top style="thin">
        <color theme="1"/>
      </top>
      <bottom style="thin">
        <color indexed="64"/>
      </bottom>
      <diagonal/>
    </border>
  </borders>
  <cellStyleXfs count="5">
    <xf numFmtId="0" fontId="0" fillId="0" borderId="0"/>
    <xf numFmtId="164"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164" fontId="14" fillId="0" borderId="0" applyFont="0" applyFill="0" applyBorder="0" applyAlignment="0" applyProtection="0"/>
  </cellStyleXfs>
  <cellXfs count="479">
    <xf numFmtId="0" fontId="0" fillId="0" borderId="0" xfId="0"/>
    <xf numFmtId="0" fontId="2" fillId="0" borderId="0" xfId="0" applyFont="1" applyAlignment="1">
      <alignment vertical="top" wrapText="1"/>
    </xf>
    <xf numFmtId="0" fontId="3" fillId="0" borderId="0" xfId="0" applyFont="1" applyAlignment="1">
      <alignment vertical="top" wrapText="1"/>
    </xf>
    <xf numFmtId="0" fontId="3" fillId="0" borderId="0" xfId="0" applyFont="1" applyAlignment="1">
      <alignment horizontal="center" vertical="top" wrapText="1"/>
    </xf>
    <xf numFmtId="0" fontId="4" fillId="0" borderId="1" xfId="0" applyFont="1" applyBorder="1" applyAlignment="1">
      <alignment vertical="top" wrapText="1"/>
    </xf>
    <xf numFmtId="0" fontId="2" fillId="0" borderId="1" xfId="0" applyFont="1" applyBorder="1" applyAlignment="1">
      <alignment vertical="top" wrapText="1"/>
    </xf>
    <xf numFmtId="0" fontId="5" fillId="0" borderId="0" xfId="0" applyFont="1" applyAlignment="1">
      <alignment horizontal="center" vertical="top" wrapText="1"/>
    </xf>
    <xf numFmtId="0" fontId="4" fillId="0" borderId="2" xfId="0" applyFont="1" applyBorder="1" applyAlignment="1">
      <alignment horizontal="center" vertical="top" wrapText="1"/>
    </xf>
    <xf numFmtId="0" fontId="4" fillId="0" borderId="3" xfId="0" applyFont="1" applyBorder="1" applyAlignment="1">
      <alignment vertical="top" wrapText="1"/>
    </xf>
    <xf numFmtId="0" fontId="4" fillId="0" borderId="0" xfId="0" applyFont="1" applyAlignment="1">
      <alignment horizontal="center" vertical="top" wrapText="1"/>
    </xf>
    <xf numFmtId="0" fontId="2" fillId="0" borderId="0" xfId="0" applyFont="1" applyAlignment="1">
      <alignment horizontal="left" vertical="top" wrapText="1"/>
    </xf>
    <xf numFmtId="0" fontId="4" fillId="0" borderId="0" xfId="0" applyFont="1" applyAlignment="1">
      <alignment vertical="top" wrapText="1"/>
    </xf>
    <xf numFmtId="0" fontId="2" fillId="0" borderId="3" xfId="0" applyFont="1" applyBorder="1" applyAlignment="1">
      <alignment vertical="top" wrapText="1"/>
    </xf>
    <xf numFmtId="0" fontId="5" fillId="0" borderId="0" xfId="0" applyFont="1" applyAlignment="1">
      <alignment horizontal="left" vertical="top" wrapText="1"/>
    </xf>
    <xf numFmtId="0" fontId="4" fillId="0" borderId="11" xfId="0" applyFont="1" applyBorder="1" applyAlignment="1">
      <alignment horizontal="left" vertical="top" wrapText="1"/>
    </xf>
    <xf numFmtId="0" fontId="4" fillId="0" borderId="0" xfId="0" applyFont="1" applyAlignment="1">
      <alignment horizontal="left" vertical="top" wrapText="1"/>
    </xf>
    <xf numFmtId="0" fontId="4" fillId="0" borderId="4" xfId="0" applyFont="1" applyBorder="1" applyAlignment="1">
      <alignment horizontal="left" vertical="top" wrapText="1"/>
    </xf>
    <xf numFmtId="0" fontId="4" fillId="0" borderId="1" xfId="0" applyFont="1" applyBorder="1" applyAlignment="1">
      <alignment horizontal="left" vertical="top" wrapText="1"/>
    </xf>
    <xf numFmtId="0" fontId="4" fillId="0" borderId="1" xfId="0" applyFont="1" applyBorder="1" applyAlignment="1">
      <alignment horizontal="center" vertical="top" wrapText="1"/>
    </xf>
    <xf numFmtId="0" fontId="5" fillId="0" borderId="1" xfId="0" applyFont="1" applyBorder="1" applyAlignment="1">
      <alignment horizontal="left" vertical="top" wrapText="1"/>
    </xf>
    <xf numFmtId="0" fontId="4" fillId="0" borderId="3" xfId="0" applyFont="1" applyBorder="1" applyAlignment="1">
      <alignment horizontal="left" vertical="top" wrapText="1"/>
    </xf>
    <xf numFmtId="0" fontId="5" fillId="0" borderId="1" xfId="0" applyFont="1" applyBorder="1" applyAlignment="1">
      <alignment horizontal="center" vertical="top" wrapText="1"/>
    </xf>
    <xf numFmtId="0" fontId="2" fillId="0" borderId="0" xfId="0" applyFont="1" applyAlignment="1">
      <alignment horizontal="center" vertical="top" wrapText="1"/>
    </xf>
    <xf numFmtId="0" fontId="8" fillId="0" borderId="0" xfId="0" applyFont="1" applyAlignment="1">
      <alignment vertical="top" wrapText="1"/>
    </xf>
    <xf numFmtId="0" fontId="3" fillId="0" borderId="6" xfId="0" applyFont="1" applyBorder="1" applyAlignment="1">
      <alignment horizontal="center" vertical="top" wrapText="1"/>
    </xf>
    <xf numFmtId="0" fontId="3" fillId="0" borderId="1" xfId="0" applyFont="1" applyBorder="1" applyAlignment="1">
      <alignment horizontal="center" vertical="top" wrapText="1"/>
    </xf>
    <xf numFmtId="0" fontId="9" fillId="0" borderId="1" xfId="0" applyFont="1" applyBorder="1" applyAlignment="1">
      <alignment horizontal="center" vertical="top" wrapText="1"/>
    </xf>
    <xf numFmtId="0" fontId="2" fillId="0" borderId="1" xfId="0" applyFont="1" applyBorder="1" applyAlignment="1">
      <alignment horizontal="center" vertical="top" wrapText="1"/>
    </xf>
    <xf numFmtId="0" fontId="2" fillId="0" borderId="16" xfId="0" applyFont="1" applyBorder="1" applyAlignment="1">
      <alignment horizontal="left" vertical="top" wrapText="1"/>
    </xf>
    <xf numFmtId="0" fontId="2" fillId="0" borderId="6" xfId="0" applyFont="1" applyBorder="1" applyAlignment="1">
      <alignment vertical="top" wrapText="1"/>
    </xf>
    <xf numFmtId="2" fontId="2" fillId="0" borderId="0" xfId="0" applyNumberFormat="1" applyFont="1" applyAlignment="1">
      <alignment horizontal="right" vertical="top" wrapText="1"/>
    </xf>
    <xf numFmtId="0" fontId="3" fillId="0" borderId="20" xfId="0" applyFont="1" applyBorder="1" applyAlignment="1">
      <alignment vertical="top" wrapText="1"/>
    </xf>
    <xf numFmtId="0" fontId="2" fillId="0" borderId="0" xfId="0" applyFont="1"/>
    <xf numFmtId="0" fontId="4" fillId="0" borderId="21" xfId="0" applyFont="1" applyBorder="1" applyAlignment="1">
      <alignment horizontal="center" vertical="top" wrapText="1"/>
    </xf>
    <xf numFmtId="0" fontId="5" fillId="0" borderId="22" xfId="0" applyFont="1" applyBorder="1" applyAlignment="1">
      <alignment vertical="top" wrapText="1"/>
    </xf>
    <xf numFmtId="0" fontId="5" fillId="0" borderId="23" xfId="0" applyFont="1" applyBorder="1" applyAlignment="1">
      <alignment vertical="top" wrapText="1"/>
    </xf>
    <xf numFmtId="15" fontId="4" fillId="0" borderId="0" xfId="0" applyNumberFormat="1" applyFont="1" applyAlignment="1">
      <alignment vertical="top" wrapText="1"/>
    </xf>
    <xf numFmtId="15" fontId="4" fillId="0" borderId="0" xfId="0" applyNumberFormat="1" applyFont="1" applyAlignment="1">
      <alignment horizontal="left" vertical="top" wrapText="1"/>
    </xf>
    <xf numFmtId="0" fontId="4" fillId="2" borderId="0" xfId="0" applyFont="1" applyFill="1" applyAlignment="1">
      <alignment horizontal="center" vertical="top" wrapText="1"/>
    </xf>
    <xf numFmtId="0" fontId="4" fillId="2" borderId="1" xfId="0" applyFont="1" applyFill="1" applyBorder="1" applyAlignment="1">
      <alignment vertical="top" wrapText="1"/>
    </xf>
    <xf numFmtId="15" fontId="4" fillId="2" borderId="0" xfId="0" applyNumberFormat="1" applyFont="1" applyFill="1" applyAlignment="1">
      <alignment vertical="top" wrapText="1"/>
    </xf>
    <xf numFmtId="0" fontId="4" fillId="2" borderId="0" xfId="0" applyFont="1" applyFill="1" applyAlignment="1">
      <alignment vertical="top" wrapText="1"/>
    </xf>
    <xf numFmtId="0" fontId="2" fillId="2" borderId="0" xfId="0" applyFont="1" applyFill="1" applyAlignment="1">
      <alignment vertical="top" wrapText="1"/>
    </xf>
    <xf numFmtId="2" fontId="5" fillId="0" borderId="1" xfId="0" applyNumberFormat="1" applyFont="1" applyBorder="1" applyAlignment="1">
      <alignment horizontal="right" vertical="top" wrapText="1"/>
    </xf>
    <xf numFmtId="2" fontId="5" fillId="0" borderId="3" xfId="0" applyNumberFormat="1" applyFont="1" applyBorder="1" applyAlignment="1">
      <alignment horizontal="right" vertical="top" wrapText="1"/>
    </xf>
    <xf numFmtId="0" fontId="6" fillId="0" borderId="1" xfId="0" applyFont="1" applyBorder="1" applyAlignment="1">
      <alignment horizontal="left" vertical="top" wrapText="1"/>
    </xf>
    <xf numFmtId="0" fontId="5" fillId="0" borderId="16" xfId="0" applyFont="1" applyBorder="1" applyAlignment="1">
      <alignment vertical="top" wrapText="1"/>
    </xf>
    <xf numFmtId="0" fontId="11" fillId="0" borderId="1" xfId="0" applyFont="1" applyBorder="1" applyAlignment="1">
      <alignment horizontal="center" vertical="top" wrapText="1"/>
    </xf>
    <xf numFmtId="0" fontId="2" fillId="0" borderId="1" xfId="0" applyFont="1" applyBorder="1" applyAlignment="1">
      <alignment horizontal="center"/>
    </xf>
    <xf numFmtId="0" fontId="5" fillId="0" borderId="0" xfId="0" applyFont="1" applyAlignment="1">
      <alignment vertical="top" wrapText="1"/>
    </xf>
    <xf numFmtId="2" fontId="2" fillId="0" borderId="1" xfId="0" applyNumberFormat="1" applyFont="1" applyBorder="1" applyAlignment="1">
      <alignment horizontal="center" vertical="top" wrapText="1"/>
    </xf>
    <xf numFmtId="0" fontId="5" fillId="0" borderId="1" xfId="0" applyFont="1" applyBorder="1" applyAlignment="1">
      <alignment vertical="top" wrapText="1"/>
    </xf>
    <xf numFmtId="2" fontId="2" fillId="0" borderId="1" xfId="0" quotePrefix="1" applyNumberFormat="1" applyFont="1" applyBorder="1" applyAlignment="1">
      <alignment horizontal="center" vertical="top" wrapText="1"/>
    </xf>
    <xf numFmtId="2" fontId="2" fillId="0" borderId="1" xfId="0" applyNumberFormat="1" applyFont="1" applyBorder="1" applyAlignment="1">
      <alignment horizontal="center"/>
    </xf>
    <xf numFmtId="0" fontId="3" fillId="0" borderId="1" xfId="0" applyFont="1" applyBorder="1" applyAlignment="1">
      <alignment vertical="top" wrapText="1"/>
    </xf>
    <xf numFmtId="0" fontId="2" fillId="0" borderId="5" xfId="0" applyFont="1" applyBorder="1" applyAlignment="1">
      <alignment vertical="top" wrapText="1"/>
    </xf>
    <xf numFmtId="15" fontId="2" fillId="0" borderId="0" xfId="0" applyNumberFormat="1" applyFont="1" applyAlignment="1">
      <alignment vertical="top" wrapText="1"/>
    </xf>
    <xf numFmtId="164" fontId="2" fillId="0" borderId="0" xfId="1" applyFont="1" applyFill="1" applyAlignment="1">
      <alignment vertical="top" wrapText="1"/>
    </xf>
    <xf numFmtId="4" fontId="2" fillId="0" borderId="0" xfId="0" applyNumberFormat="1" applyFont="1" applyAlignment="1">
      <alignment vertical="top" wrapText="1"/>
    </xf>
    <xf numFmtId="10" fontId="2" fillId="0" borderId="0" xfId="2" applyNumberFormat="1" applyFont="1" applyAlignment="1">
      <alignment vertical="top" wrapText="1"/>
    </xf>
    <xf numFmtId="2" fontId="2" fillId="0" borderId="0" xfId="0" applyNumberFormat="1" applyFont="1" applyAlignment="1">
      <alignment vertical="top" wrapText="1"/>
    </xf>
    <xf numFmtId="2" fontId="2" fillId="0" borderId="32" xfId="0" applyNumberFormat="1" applyFont="1" applyBorder="1" applyAlignment="1">
      <alignment vertical="top" wrapText="1"/>
    </xf>
    <xf numFmtId="0" fontId="3" fillId="0" borderId="2" xfId="0" applyFont="1" applyBorder="1" applyAlignment="1">
      <alignment horizontal="center" vertical="top" wrapText="1"/>
    </xf>
    <xf numFmtId="0" fontId="3" fillId="0" borderId="3" xfId="0" applyFont="1" applyBorder="1" applyAlignment="1">
      <alignment vertical="top" wrapText="1"/>
    </xf>
    <xf numFmtId="0" fontId="3" fillId="0" borderId="4" xfId="0" applyFont="1" applyBorder="1" applyAlignment="1">
      <alignment horizontal="left" vertical="top" wrapText="1"/>
    </xf>
    <xf numFmtId="0" fontId="3" fillId="0" borderId="11" xfId="0" applyFont="1" applyBorder="1" applyAlignment="1">
      <alignment horizontal="left" vertical="top" wrapText="1"/>
    </xf>
    <xf numFmtId="0" fontId="3" fillId="0" borderId="0" xfId="0" applyFont="1" applyAlignment="1">
      <alignment horizontal="left" vertical="top" wrapText="1"/>
    </xf>
    <xf numFmtId="0" fontId="3" fillId="0" borderId="1" xfId="0" applyFont="1" applyBorder="1" applyAlignment="1">
      <alignment horizontal="left" vertical="top" wrapText="1"/>
    </xf>
    <xf numFmtId="0" fontId="2" fillId="0" borderId="1" xfId="0" applyFont="1" applyBorder="1" applyAlignment="1">
      <alignment horizontal="left" vertical="top" wrapText="1"/>
    </xf>
    <xf numFmtId="0" fontId="3" fillId="0" borderId="3" xfId="0" applyFont="1" applyBorder="1" applyAlignment="1">
      <alignment horizontal="left" vertical="top" wrapText="1"/>
    </xf>
    <xf numFmtId="0" fontId="3" fillId="0" borderId="14" xfId="0" applyFont="1" applyBorder="1" applyAlignment="1">
      <alignment horizontal="center" vertical="top" wrapText="1"/>
    </xf>
    <xf numFmtId="0" fontId="3" fillId="0" borderId="21" xfId="0" applyFont="1" applyBorder="1" applyAlignment="1">
      <alignment horizontal="center" vertical="top" wrapText="1"/>
    </xf>
    <xf numFmtId="0" fontId="2" fillId="0" borderId="22" xfId="0" applyFont="1" applyBorder="1" applyAlignment="1">
      <alignment vertical="top" wrapText="1"/>
    </xf>
    <xf numFmtId="0" fontId="2" fillId="0" borderId="23" xfId="0" applyFont="1" applyBorder="1" applyAlignment="1">
      <alignment vertical="top" wrapText="1"/>
    </xf>
    <xf numFmtId="15" fontId="3" fillId="0" borderId="0" xfId="0" applyNumberFormat="1" applyFont="1" applyAlignment="1">
      <alignment vertical="top" wrapText="1"/>
    </xf>
    <xf numFmtId="15" fontId="3" fillId="0" borderId="0" xfId="0" applyNumberFormat="1" applyFont="1" applyAlignment="1">
      <alignment horizontal="left" vertical="top" wrapText="1"/>
    </xf>
    <xf numFmtId="0" fontId="3" fillId="2" borderId="0" xfId="0" applyFont="1" applyFill="1" applyAlignment="1">
      <alignment horizontal="center" vertical="top" wrapText="1"/>
    </xf>
    <xf numFmtId="0" fontId="3" fillId="2" borderId="1" xfId="0" applyFont="1" applyFill="1" applyBorder="1" applyAlignment="1">
      <alignment vertical="top" wrapText="1"/>
    </xf>
    <xf numFmtId="15" fontId="3" fillId="2" borderId="0" xfId="0" applyNumberFormat="1" applyFont="1" applyFill="1" applyAlignment="1">
      <alignment vertical="top" wrapText="1"/>
    </xf>
    <xf numFmtId="0" fontId="3" fillId="2" borderId="0" xfId="0" applyFont="1" applyFill="1" applyAlignment="1">
      <alignment vertical="top" wrapText="1"/>
    </xf>
    <xf numFmtId="0" fontId="3" fillId="0" borderId="3" xfId="0" applyFont="1" applyBorder="1" applyAlignment="1">
      <alignment horizontal="center" vertical="top" wrapText="1"/>
    </xf>
    <xf numFmtId="2" fontId="2" fillId="0" borderId="1" xfId="0" applyNumberFormat="1" applyFont="1" applyBorder="1" applyAlignment="1">
      <alignment horizontal="right" vertical="top" wrapText="1"/>
    </xf>
    <xf numFmtId="2" fontId="2" fillId="0" borderId="3" xfId="0" applyNumberFormat="1" applyFont="1" applyBorder="1" applyAlignment="1">
      <alignment horizontal="right" vertical="top" wrapText="1"/>
    </xf>
    <xf numFmtId="0" fontId="10" fillId="0" borderId="1" xfId="0" applyFont="1" applyBorder="1" applyAlignment="1">
      <alignment horizontal="left" vertical="top" wrapText="1"/>
    </xf>
    <xf numFmtId="0" fontId="2" fillId="0" borderId="16" xfId="0" applyFont="1" applyBorder="1" applyAlignment="1">
      <alignment vertical="top" wrapText="1"/>
    </xf>
    <xf numFmtId="2" fontId="2" fillId="0" borderId="1" xfId="0" applyNumberFormat="1" applyFont="1" applyBorder="1" applyAlignment="1">
      <alignment horizontal="center" vertical="center" wrapText="1"/>
    </xf>
    <xf numFmtId="0" fontId="10" fillId="0" borderId="1" xfId="0" applyFont="1" applyBorder="1" applyAlignment="1">
      <alignment vertical="top" wrapText="1"/>
    </xf>
    <xf numFmtId="0" fontId="10" fillId="0" borderId="0" xfId="0" applyFont="1" applyAlignment="1">
      <alignment horizontal="left" vertical="top" wrapText="1"/>
    </xf>
    <xf numFmtId="0" fontId="2" fillId="0" borderId="1" xfId="0" applyFont="1" applyBorder="1" applyAlignment="1">
      <alignment vertical="center" wrapText="1"/>
    </xf>
    <xf numFmtId="0" fontId="13" fillId="0" borderId="0" xfId="0" applyFont="1" applyAlignment="1">
      <alignment horizontal="left" vertical="top" wrapText="1"/>
    </xf>
    <xf numFmtId="2" fontId="2" fillId="0" borderId="1" xfId="0" applyNumberFormat="1" applyFont="1" applyBorder="1" applyAlignment="1">
      <alignment vertical="center" wrapText="1"/>
    </xf>
    <xf numFmtId="2" fontId="2" fillId="0" borderId="13" xfId="0" applyNumberFormat="1" applyFont="1" applyBorder="1" applyAlignment="1">
      <alignment horizontal="center" vertical="top" wrapText="1"/>
    </xf>
    <xf numFmtId="2" fontId="2" fillId="0" borderId="6" xfId="0" applyNumberFormat="1" applyFont="1" applyBorder="1" applyAlignment="1">
      <alignment horizontal="center" vertical="top" wrapText="1"/>
    </xf>
    <xf numFmtId="0" fontId="6" fillId="0" borderId="1" xfId="0" applyFont="1" applyBorder="1" applyAlignment="1">
      <alignment vertical="top" wrapText="1"/>
    </xf>
    <xf numFmtId="2" fontId="3" fillId="0" borderId="1" xfId="0" quotePrefix="1" applyNumberFormat="1" applyFont="1" applyBorder="1" applyAlignment="1">
      <alignment horizontal="center" vertical="top" wrapText="1"/>
    </xf>
    <xf numFmtId="10" fontId="2" fillId="0" borderId="1" xfId="0" applyNumberFormat="1" applyFont="1" applyBorder="1" applyAlignment="1">
      <alignment horizontal="center"/>
    </xf>
    <xf numFmtId="10" fontId="2" fillId="0" borderId="1" xfId="0" applyNumberFormat="1" applyFont="1" applyBorder="1" applyAlignment="1">
      <alignment horizontal="center" vertical="top" wrapText="1"/>
    </xf>
    <xf numFmtId="10" fontId="3" fillId="0" borderId="1" xfId="0" quotePrefix="1" applyNumberFormat="1" applyFont="1" applyBorder="1" applyAlignment="1">
      <alignment horizontal="center" vertical="top" wrapText="1"/>
    </xf>
    <xf numFmtId="10" fontId="3" fillId="0" borderId="1" xfId="0" applyNumberFormat="1" applyFont="1" applyBorder="1" applyAlignment="1">
      <alignment horizontal="center" vertical="top" wrapText="1"/>
    </xf>
    <xf numFmtId="0" fontId="3" fillId="0" borderId="18" xfId="0" applyFont="1" applyBorder="1" applyAlignment="1">
      <alignment horizontal="center" vertical="top" wrapText="1"/>
    </xf>
    <xf numFmtId="0" fontId="2" fillId="0" borderId="16" xfId="0" applyFont="1" applyBorder="1" applyAlignment="1">
      <alignment horizontal="center"/>
    </xf>
    <xf numFmtId="2" fontId="3" fillId="0" borderId="1" xfId="0" applyNumberFormat="1" applyFont="1" applyBorder="1" applyAlignment="1">
      <alignment horizontal="center"/>
    </xf>
    <xf numFmtId="0" fontId="10" fillId="0" borderId="18" xfId="0" applyFont="1" applyBorder="1" applyAlignment="1">
      <alignment horizontal="left" vertical="top"/>
    </xf>
    <xf numFmtId="0" fontId="10" fillId="0" borderId="16" xfId="0" applyFont="1" applyBorder="1" applyAlignment="1">
      <alignment horizontal="left" vertical="top"/>
    </xf>
    <xf numFmtId="0" fontId="10" fillId="0" borderId="19" xfId="0" applyFont="1" applyBorder="1" applyAlignment="1">
      <alignment horizontal="left" vertical="top"/>
    </xf>
    <xf numFmtId="0" fontId="2" fillId="0" borderId="0" xfId="0" applyFont="1" applyAlignment="1">
      <alignment horizontal="center" vertical="center" wrapText="1"/>
    </xf>
    <xf numFmtId="0" fontId="3" fillId="0" borderId="1" xfId="0" applyFont="1" applyBorder="1" applyAlignment="1">
      <alignment horizontal="center"/>
    </xf>
    <xf numFmtId="165" fontId="3" fillId="0" borderId="1" xfId="0" applyNumberFormat="1" applyFont="1" applyBorder="1" applyAlignment="1">
      <alignment horizontal="center"/>
    </xf>
    <xf numFmtId="10" fontId="3" fillId="0" borderId="1" xfId="0" applyNumberFormat="1" applyFont="1" applyBorder="1" applyAlignment="1">
      <alignment horizontal="center"/>
    </xf>
    <xf numFmtId="10" fontId="2" fillId="0" borderId="1" xfId="0" applyNumberFormat="1" applyFont="1" applyBorder="1" applyAlignment="1">
      <alignment horizontal="center" vertical="center" wrapText="1"/>
    </xf>
    <xf numFmtId="10" fontId="2" fillId="0" borderId="1" xfId="0" applyNumberFormat="1" applyFont="1" applyBorder="1" applyAlignment="1">
      <alignment vertical="center" wrapText="1"/>
    </xf>
    <xf numFmtId="0" fontId="3" fillId="0" borderId="33" xfId="0" applyFont="1" applyBorder="1" applyAlignment="1">
      <alignment vertical="top" wrapText="1"/>
    </xf>
    <xf numFmtId="0" fontId="10" fillId="0" borderId="16" xfId="0" applyFont="1" applyBorder="1" applyAlignment="1">
      <alignment vertical="top"/>
    </xf>
    <xf numFmtId="0" fontId="2" fillId="0" borderId="1" xfId="0" applyFont="1" applyBorder="1" applyAlignment="1">
      <alignment horizontal="center" vertical="center"/>
    </xf>
    <xf numFmtId="2" fontId="2" fillId="0" borderId="1" xfId="0" applyNumberFormat="1" applyFont="1" applyBorder="1" applyAlignment="1">
      <alignment horizontal="center" vertical="center"/>
    </xf>
    <xf numFmtId="10" fontId="2" fillId="0" borderId="1" xfId="0" applyNumberFormat="1" applyFont="1" applyBorder="1" applyAlignment="1">
      <alignment horizontal="center" vertical="center"/>
    </xf>
    <xf numFmtId="0" fontId="3" fillId="0" borderId="1" xfId="0" applyFont="1" applyBorder="1" applyAlignment="1">
      <alignment vertical="center" wrapText="1"/>
    </xf>
    <xf numFmtId="0" fontId="2" fillId="0" borderId="14" xfId="0" applyFont="1" applyBorder="1" applyAlignment="1">
      <alignment horizontal="center" vertical="top" wrapText="1"/>
    </xf>
    <xf numFmtId="0" fontId="2" fillId="0" borderId="15" xfId="0" applyFont="1" applyBorder="1" applyAlignment="1">
      <alignment vertical="center"/>
    </xf>
    <xf numFmtId="2" fontId="3" fillId="0" borderId="14" xfId="0" applyNumberFormat="1" applyFont="1" applyBorder="1" applyAlignment="1">
      <alignment horizontal="right" vertical="center"/>
    </xf>
    <xf numFmtId="0" fontId="2" fillId="2" borderId="1" xfId="0" applyFont="1" applyFill="1" applyBorder="1" applyAlignment="1">
      <alignment vertical="top" wrapText="1"/>
    </xf>
    <xf numFmtId="2" fontId="2" fillId="0" borderId="1" xfId="0" applyNumberFormat="1" applyFont="1" applyBorder="1" applyAlignment="1">
      <alignment vertical="top" wrapText="1"/>
    </xf>
    <xf numFmtId="0" fontId="2" fillId="0" borderId="15" xfId="0" applyFont="1" applyBorder="1" applyAlignment="1">
      <alignment vertical="center" wrapText="1"/>
    </xf>
    <xf numFmtId="0" fontId="3" fillId="0" borderId="14" xfId="0" applyFont="1" applyBorder="1" applyAlignment="1">
      <alignment vertical="top" wrapText="1"/>
    </xf>
    <xf numFmtId="0" fontId="3" fillId="0" borderId="15" xfId="0" applyFont="1" applyBorder="1" applyAlignment="1">
      <alignment vertical="top" wrapText="1"/>
    </xf>
    <xf numFmtId="0" fontId="2" fillId="0" borderId="1" xfId="0" applyFont="1" applyBorder="1" applyAlignment="1">
      <alignment horizontal="right" vertical="top" wrapText="1"/>
    </xf>
    <xf numFmtId="10" fontId="2" fillId="0" borderId="1" xfId="0" applyNumberFormat="1" applyFont="1" applyBorder="1" applyAlignment="1">
      <alignment vertical="top" wrapText="1"/>
    </xf>
    <xf numFmtId="4" fontId="2" fillId="0" borderId="1" xfId="0" applyNumberFormat="1" applyFont="1" applyBorder="1" applyAlignment="1">
      <alignment horizontal="center" vertical="top" wrapText="1"/>
    </xf>
    <xf numFmtId="4" fontId="5" fillId="0" borderId="1" xfId="0" applyNumberFormat="1" applyFont="1" applyBorder="1" applyAlignment="1">
      <alignment horizontal="center" vertical="top" wrapText="1"/>
    </xf>
    <xf numFmtId="0" fontId="2" fillId="2" borderId="1" xfId="0" applyFont="1" applyFill="1" applyBorder="1" applyAlignment="1">
      <alignment vertical="center" wrapText="1"/>
    </xf>
    <xf numFmtId="0" fontId="2" fillId="0" borderId="15" xfId="0" applyFont="1" applyBorder="1" applyAlignment="1">
      <alignment vertical="top" wrapText="1"/>
    </xf>
    <xf numFmtId="10" fontId="3" fillId="0" borderId="1" xfId="0" applyNumberFormat="1"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vertical="center"/>
    </xf>
    <xf numFmtId="0" fontId="2" fillId="0" borderId="1" xfId="0" applyFont="1" applyBorder="1" applyAlignment="1">
      <alignment horizontal="right" vertical="center"/>
    </xf>
    <xf numFmtId="10" fontId="2" fillId="0" borderId="1" xfId="0" applyNumberFormat="1" applyFont="1" applyBorder="1" applyAlignment="1">
      <alignment vertical="center"/>
    </xf>
    <xf numFmtId="10" fontId="2" fillId="2" borderId="1" xfId="0" applyNumberFormat="1" applyFont="1" applyFill="1" applyBorder="1" applyAlignment="1">
      <alignment vertical="center" wrapText="1"/>
    </xf>
    <xf numFmtId="43" fontId="5" fillId="2" borderId="3" xfId="3" applyFont="1" applyFill="1" applyBorder="1" applyAlignment="1">
      <alignment horizontal="right" vertical="top"/>
    </xf>
    <xf numFmtId="43" fontId="5" fillId="2" borderId="3" xfId="3" applyFont="1" applyFill="1" applyBorder="1" applyAlignment="1">
      <alignment horizontal="right" vertical="center"/>
    </xf>
    <xf numFmtId="2" fontId="3" fillId="0" borderId="1" xfId="0" applyNumberFormat="1" applyFont="1" applyBorder="1" applyAlignment="1">
      <alignment horizontal="right" vertical="center"/>
    </xf>
    <xf numFmtId="0" fontId="2" fillId="0" borderId="1" xfId="0" quotePrefix="1" applyFont="1" applyBorder="1" applyAlignment="1">
      <alignment horizontal="right" vertical="center"/>
    </xf>
    <xf numFmtId="10" fontId="2" fillId="0" borderId="1" xfId="0" applyNumberFormat="1" applyFont="1" applyBorder="1" applyAlignment="1">
      <alignment horizontal="right" vertical="center"/>
    </xf>
    <xf numFmtId="10" fontId="3" fillId="0" borderId="1" xfId="0" applyNumberFormat="1" applyFont="1" applyBorder="1" applyAlignment="1">
      <alignment horizontal="right" vertical="center"/>
    </xf>
    <xf numFmtId="2" fontId="3" fillId="0" borderId="1" xfId="0" applyNumberFormat="1" applyFont="1" applyBorder="1" applyAlignment="1">
      <alignment horizontal="right"/>
    </xf>
    <xf numFmtId="0" fontId="2" fillId="2" borderId="1" xfId="0" applyFont="1" applyFill="1" applyBorder="1" applyAlignment="1">
      <alignment horizontal="center" vertical="top" wrapText="1"/>
    </xf>
    <xf numFmtId="0" fontId="10" fillId="0" borderId="5" xfId="0" applyFont="1" applyBorder="1" applyAlignment="1">
      <alignment horizontal="left" vertical="top" wrapText="1"/>
    </xf>
    <xf numFmtId="0" fontId="3" fillId="0" borderId="15" xfId="0" applyFont="1" applyBorder="1" applyAlignment="1">
      <alignment horizontal="left" vertical="top" wrapText="1"/>
    </xf>
    <xf numFmtId="0" fontId="10" fillId="0" borderId="1" xfId="0" applyFont="1" applyBorder="1" applyAlignment="1">
      <alignment horizontal="left" vertical="top"/>
    </xf>
    <xf numFmtId="0" fontId="3" fillId="0" borderId="13" xfId="0" applyFont="1" applyBorder="1" applyAlignment="1">
      <alignment vertical="top" wrapText="1"/>
    </xf>
    <xf numFmtId="2" fontId="3" fillId="0" borderId="1" xfId="0" applyNumberFormat="1" applyFont="1" applyBorder="1" applyAlignment="1">
      <alignment vertical="center"/>
    </xf>
    <xf numFmtId="2" fontId="2" fillId="0" borderId="1" xfId="0" applyNumberFormat="1" applyFont="1" applyBorder="1" applyAlignment="1">
      <alignment vertical="center"/>
    </xf>
    <xf numFmtId="0" fontId="2" fillId="0" borderId="1" xfId="0" applyFont="1" applyBorder="1" applyAlignment="1">
      <alignment horizontal="right" vertical="center" wrapText="1"/>
    </xf>
    <xf numFmtId="2" fontId="2" fillId="0" borderId="1" xfId="0" applyNumberFormat="1" applyFont="1" applyBorder="1" applyAlignment="1">
      <alignment horizontal="right" vertical="center"/>
    </xf>
    <xf numFmtId="10" fontId="2" fillId="0" borderId="1" xfId="0" applyNumberFormat="1" applyFont="1" applyBorder="1" applyAlignment="1">
      <alignment horizontal="right" vertical="center" wrapText="1"/>
    </xf>
    <xf numFmtId="2" fontId="2" fillId="0" borderId="1" xfId="0" applyNumberFormat="1" applyFont="1" applyBorder="1" applyAlignment="1">
      <alignment horizontal="right"/>
    </xf>
    <xf numFmtId="0" fontId="2" fillId="0" borderId="1" xfId="0" applyFont="1" applyBorder="1" applyAlignment="1">
      <alignment horizontal="right" vertical="top"/>
    </xf>
    <xf numFmtId="2" fontId="3" fillId="0" borderId="1" xfId="0" applyNumberFormat="1" applyFont="1" applyBorder="1" applyAlignment="1">
      <alignment vertical="center" wrapText="1"/>
    </xf>
    <xf numFmtId="2" fontId="3" fillId="0" borderId="1" xfId="0" applyNumberFormat="1" applyFont="1" applyBorder="1" applyAlignment="1">
      <alignment horizontal="right" vertical="top"/>
    </xf>
    <xf numFmtId="2" fontId="2" fillId="0" borderId="1" xfId="0" applyNumberFormat="1" applyFont="1" applyBorder="1" applyAlignment="1">
      <alignment horizontal="right" vertical="center" wrapText="1"/>
    </xf>
    <xf numFmtId="0" fontId="10" fillId="0" borderId="5" xfId="0" applyFont="1" applyBorder="1" applyAlignment="1">
      <alignment horizontal="left" vertical="top"/>
    </xf>
    <xf numFmtId="10" fontId="2" fillId="0" borderId="1" xfId="2" applyNumberFormat="1" applyFont="1" applyBorder="1" applyAlignment="1">
      <alignment horizontal="right" vertical="center" wrapText="1"/>
    </xf>
    <xf numFmtId="2" fontId="4" fillId="0" borderId="3" xfId="0" applyNumberFormat="1" applyFont="1" applyBorder="1" applyAlignment="1">
      <alignment horizontal="right" vertical="top" wrapText="1"/>
    </xf>
    <xf numFmtId="10" fontId="2" fillId="2" borderId="1" xfId="0" applyNumberFormat="1" applyFont="1" applyFill="1" applyBorder="1" applyAlignment="1">
      <alignment horizontal="right" vertical="center"/>
    </xf>
    <xf numFmtId="0" fontId="3" fillId="0" borderId="1" xfId="0" applyFont="1" applyBorder="1" applyAlignment="1">
      <alignment horizontal="right" vertical="center" wrapText="1"/>
    </xf>
    <xf numFmtId="10" fontId="3" fillId="0" borderId="1" xfId="0" applyNumberFormat="1" applyFont="1" applyBorder="1" applyAlignment="1">
      <alignment horizontal="right" vertical="center" wrapText="1"/>
    </xf>
    <xf numFmtId="0" fontId="3" fillId="0" borderId="1" xfId="0" applyFont="1" applyBorder="1" applyAlignment="1">
      <alignment horizontal="right" vertical="top"/>
    </xf>
    <xf numFmtId="2" fontId="2" fillId="0" borderId="0" xfId="0" applyNumberFormat="1" applyFont="1" applyAlignment="1">
      <alignment horizontal="left" vertical="top" wrapText="1"/>
    </xf>
    <xf numFmtId="2" fontId="2" fillId="0" borderId="4" xfId="0" applyNumberFormat="1" applyFont="1" applyBorder="1" applyAlignment="1">
      <alignment vertical="top" wrapText="1"/>
    </xf>
    <xf numFmtId="4" fontId="5" fillId="0" borderId="0" xfId="0" applyNumberFormat="1" applyFont="1" applyAlignment="1">
      <alignment vertical="top" wrapText="1"/>
    </xf>
    <xf numFmtId="0" fontId="5" fillId="0" borderId="0" xfId="0" applyFont="1" applyAlignment="1">
      <alignment horizontal="right" vertical="top" wrapText="1"/>
    </xf>
    <xf numFmtId="3" fontId="5" fillId="0" borderId="0" xfId="0" applyNumberFormat="1" applyFont="1" applyAlignment="1">
      <alignment vertical="top" wrapText="1"/>
    </xf>
    <xf numFmtId="0" fontId="2" fillId="0" borderId="0" xfId="0" applyFont="1" applyAlignment="1">
      <alignment horizontal="right" vertical="top" wrapText="1"/>
    </xf>
    <xf numFmtId="4" fontId="2" fillId="0" borderId="0" xfId="0" applyNumberFormat="1" applyFont="1" applyAlignment="1">
      <alignment horizontal="right" vertical="top" wrapText="1"/>
    </xf>
    <xf numFmtId="0" fontId="2" fillId="0" borderId="0" xfId="0" quotePrefix="1" applyFont="1" applyAlignment="1">
      <alignment vertical="top" wrapText="1"/>
    </xf>
    <xf numFmtId="4" fontId="2" fillId="0" borderId="1" xfId="0" applyNumberFormat="1" applyFont="1" applyBorder="1" applyAlignment="1">
      <alignment vertical="top" wrapText="1"/>
    </xf>
    <xf numFmtId="2" fontId="2" fillId="0" borderId="18" xfId="0" applyNumberFormat="1" applyFont="1" applyBorder="1" applyAlignment="1">
      <alignment vertical="top" wrapText="1"/>
    </xf>
    <xf numFmtId="2" fontId="2" fillId="0" borderId="16" xfId="0" applyNumberFormat="1" applyFont="1" applyBorder="1" applyAlignment="1">
      <alignment vertical="top" wrapText="1"/>
    </xf>
    <xf numFmtId="2" fontId="2" fillId="0" borderId="19" xfId="0" applyNumberFormat="1" applyFont="1" applyBorder="1" applyAlignment="1">
      <alignment vertical="top" wrapText="1"/>
    </xf>
    <xf numFmtId="2" fontId="2" fillId="0" borderId="1" xfId="0" applyNumberFormat="1" applyFont="1" applyBorder="1" applyAlignment="1">
      <alignment horizontal="right" vertical="top"/>
    </xf>
    <xf numFmtId="0" fontId="3" fillId="0" borderId="0" xfId="0" applyFont="1" applyAlignment="1">
      <alignment horizontal="right" vertical="top" wrapText="1"/>
    </xf>
    <xf numFmtId="2" fontId="3" fillId="0" borderId="1" xfId="0" applyNumberFormat="1" applyFont="1" applyBorder="1" applyAlignment="1">
      <alignment horizontal="right" vertical="center" wrapText="1"/>
    </xf>
    <xf numFmtId="4" fontId="5" fillId="0" borderId="1" xfId="0" applyNumberFormat="1" applyFont="1" applyBorder="1" applyAlignment="1">
      <alignment horizontal="right" vertical="top" wrapText="1"/>
    </xf>
    <xf numFmtId="0" fontId="5" fillId="0" borderId="1" xfId="0" applyFont="1" applyBorder="1" applyAlignment="1">
      <alignment horizontal="right" vertical="top" wrapText="1"/>
    </xf>
    <xf numFmtId="0" fontId="10" fillId="0" borderId="1" xfId="0" applyFont="1" applyBorder="1" applyAlignment="1">
      <alignment horizontal="left"/>
    </xf>
    <xf numFmtId="0" fontId="2" fillId="0" borderId="13" xfId="0" applyFont="1" applyBorder="1" applyAlignment="1">
      <alignment horizontal="left" vertical="top" wrapText="1"/>
    </xf>
    <xf numFmtId="0" fontId="2" fillId="0" borderId="11" xfId="0" applyFont="1" applyBorder="1" applyAlignment="1">
      <alignment horizontal="left" vertical="top" wrapText="1"/>
    </xf>
    <xf numFmtId="0" fontId="10" fillId="0" borderId="6" xfId="0" applyFont="1" applyBorder="1" applyAlignment="1">
      <alignment horizontal="left"/>
    </xf>
    <xf numFmtId="0" fontId="2" fillId="0" borderId="13" xfId="0" applyFont="1" applyBorder="1" applyAlignment="1">
      <alignment horizontal="center" vertical="top" wrapText="1"/>
    </xf>
    <xf numFmtId="0" fontId="2" fillId="0" borderId="6" xfId="0" applyFont="1" applyBorder="1" applyAlignment="1">
      <alignment horizontal="center" vertical="top" wrapText="1"/>
    </xf>
    <xf numFmtId="0" fontId="2" fillId="0" borderId="3" xfId="0" applyFont="1" applyBorder="1" applyAlignment="1">
      <alignment horizontal="center" vertical="top" wrapText="1"/>
    </xf>
    <xf numFmtId="0" fontId="3" fillId="0" borderId="33" xfId="0" applyFont="1" applyBorder="1" applyAlignment="1">
      <alignment horizontal="center" vertical="top" wrapText="1"/>
    </xf>
    <xf numFmtId="3" fontId="2" fillId="0" borderId="1" xfId="0" applyNumberFormat="1" applyFont="1" applyBorder="1" applyAlignment="1">
      <alignment horizontal="center" vertical="top" wrapText="1"/>
    </xf>
    <xf numFmtId="0" fontId="2" fillId="0" borderId="1" xfId="0" applyFont="1" applyBorder="1" applyAlignment="1">
      <alignment horizontal="center" vertical="top"/>
    </xf>
    <xf numFmtId="164" fontId="2" fillId="0" borderId="0" xfId="1" applyFont="1" applyAlignment="1">
      <alignment vertical="top" wrapText="1"/>
    </xf>
    <xf numFmtId="0" fontId="2" fillId="0" borderId="6" xfId="0" applyFont="1" applyBorder="1" applyAlignment="1">
      <alignment horizontal="left" vertical="top" wrapText="1"/>
    </xf>
    <xf numFmtId="0" fontId="10" fillId="0" borderId="6" xfId="0" applyFont="1" applyBorder="1" applyAlignment="1">
      <alignment horizontal="left" vertical="top" wrapText="1"/>
    </xf>
    <xf numFmtId="0" fontId="2" fillId="0" borderId="27" xfId="0" applyFont="1" applyBorder="1" applyAlignment="1">
      <alignment horizontal="center" vertical="top" wrapText="1"/>
    </xf>
    <xf numFmtId="0" fontId="10" fillId="0" borderId="29" xfId="0" applyFont="1" applyBorder="1" applyAlignment="1">
      <alignment horizontal="left" vertical="top" wrapText="1"/>
    </xf>
    <xf numFmtId="0" fontId="10" fillId="0" borderId="30" xfId="0" applyFont="1" applyBorder="1" applyAlignment="1">
      <alignment horizontal="left" vertical="top" wrapText="1"/>
    </xf>
    <xf numFmtId="4" fontId="2" fillId="0" borderId="1" xfId="0" applyNumberFormat="1" applyFont="1" applyBorder="1" applyAlignment="1">
      <alignment horizontal="right" vertical="top" wrapText="1"/>
    </xf>
    <xf numFmtId="2" fontId="2" fillId="0" borderId="11" xfId="0" applyNumberFormat="1" applyFont="1" applyBorder="1" applyAlignment="1">
      <alignment horizontal="center" vertical="top" wrapText="1"/>
    </xf>
    <xf numFmtId="0" fontId="6" fillId="0" borderId="11" xfId="0" applyFont="1" applyBorder="1" applyAlignment="1">
      <alignment vertical="top" wrapText="1"/>
    </xf>
    <xf numFmtId="43" fontId="2" fillId="0" borderId="0" xfId="3" applyFont="1" applyAlignment="1">
      <alignment vertical="top" wrapText="1"/>
    </xf>
    <xf numFmtId="0" fontId="2" fillId="0" borderId="1" xfId="0" applyFont="1" applyBorder="1" applyAlignment="1">
      <alignment horizontal="right" wrapText="1"/>
    </xf>
    <xf numFmtId="10" fontId="2" fillId="0" borderId="1" xfId="2" applyNumberFormat="1" applyFont="1" applyBorder="1" applyAlignment="1">
      <alignment vertical="top" wrapText="1"/>
    </xf>
    <xf numFmtId="2" fontId="3" fillId="0" borderId="1" xfId="0" applyNumberFormat="1" applyFont="1" applyBorder="1" applyAlignment="1">
      <alignment horizontal="center" vertical="center" wrapText="1"/>
    </xf>
    <xf numFmtId="0" fontId="6" fillId="0" borderId="16" xfId="0" applyFont="1" applyBorder="1" applyAlignment="1">
      <alignment horizontal="left" vertical="top"/>
    </xf>
    <xf numFmtId="0" fontId="2" fillId="0" borderId="15" xfId="0" applyFont="1" applyBorder="1" applyAlignment="1">
      <alignment horizontal="center" vertical="top" wrapText="1"/>
    </xf>
    <xf numFmtId="10" fontId="3" fillId="0" borderId="1" xfId="0" applyNumberFormat="1" applyFont="1" applyBorder="1" applyAlignment="1">
      <alignment vertical="center"/>
    </xf>
    <xf numFmtId="0" fontId="10" fillId="0" borderId="0" xfId="0" applyFont="1" applyAlignment="1">
      <alignment horizontal="left" vertical="top"/>
    </xf>
    <xf numFmtId="0" fontId="4" fillId="0" borderId="33" xfId="0" applyFont="1" applyBorder="1" applyAlignment="1">
      <alignment horizontal="center" vertical="top" wrapText="1"/>
    </xf>
    <xf numFmtId="10"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xf>
    <xf numFmtId="0" fontId="3" fillId="0" borderId="6" xfId="0" applyFont="1" applyBorder="1" applyAlignment="1">
      <alignment vertical="top" wrapText="1"/>
    </xf>
    <xf numFmtId="0" fontId="3" fillId="0" borderId="23" xfId="0" applyFont="1" applyBorder="1" applyAlignment="1">
      <alignment horizontal="center" vertical="top" wrapText="1"/>
    </xf>
    <xf numFmtId="0" fontId="10" fillId="0" borderId="6" xfId="0" applyFont="1" applyBorder="1" applyAlignment="1">
      <alignment horizontal="left" vertical="top"/>
    </xf>
    <xf numFmtId="0" fontId="2" fillId="0" borderId="17" xfId="0" applyFont="1" applyBorder="1" applyAlignment="1">
      <alignment horizontal="center" vertical="top" wrapText="1"/>
    </xf>
    <xf numFmtId="164" fontId="3" fillId="0" borderId="1" xfId="1" applyFont="1" applyBorder="1" applyAlignment="1">
      <alignment horizontal="right" vertical="center"/>
    </xf>
    <xf numFmtId="0" fontId="2" fillId="0" borderId="1" xfId="0" applyFont="1" applyBorder="1" applyAlignment="1">
      <alignment horizontal="left" vertical="top"/>
    </xf>
    <xf numFmtId="0" fontId="19" fillId="0" borderId="0" xfId="0" applyFont="1"/>
    <xf numFmtId="0" fontId="6" fillId="0" borderId="0" xfId="0" applyFont="1" applyAlignment="1">
      <alignment horizontal="left" vertical="top" wrapText="1"/>
    </xf>
    <xf numFmtId="3" fontId="3" fillId="0" borderId="0" xfId="0" applyNumberFormat="1" applyFont="1" applyAlignment="1">
      <alignment horizontal="left" vertical="top" wrapText="1"/>
    </xf>
    <xf numFmtId="0" fontId="2" fillId="0" borderId="14" xfId="0" applyFont="1" applyBorder="1" applyAlignment="1">
      <alignment vertical="top" wrapText="1"/>
    </xf>
    <xf numFmtId="3" fontId="2" fillId="0" borderId="0" xfId="0" applyNumberFormat="1" applyFont="1" applyAlignment="1">
      <alignment vertical="top" wrapText="1"/>
    </xf>
    <xf numFmtId="10" fontId="2" fillId="0" borderId="1" xfId="0" applyNumberFormat="1" applyFont="1" applyBorder="1" applyAlignment="1">
      <alignment horizontal="right" wrapText="1"/>
    </xf>
    <xf numFmtId="2" fontId="2" fillId="0" borderId="1" xfId="0" applyNumberFormat="1" applyFont="1" applyBorder="1" applyAlignment="1">
      <alignment horizontal="right" wrapText="1"/>
    </xf>
    <xf numFmtId="2" fontId="2" fillId="0" borderId="1" xfId="0" quotePrefix="1" applyNumberFormat="1" applyFont="1" applyBorder="1" applyAlignment="1">
      <alignment horizontal="right" vertical="center"/>
    </xf>
    <xf numFmtId="0" fontId="2" fillId="0" borderId="1" xfId="0" applyFont="1" applyBorder="1" applyAlignment="1">
      <alignment vertical="top"/>
    </xf>
    <xf numFmtId="2" fontId="2" fillId="0" borderId="1" xfId="0" applyNumberFormat="1" applyFont="1" applyBorder="1" applyAlignment="1">
      <alignment vertical="top"/>
    </xf>
    <xf numFmtId="10" fontId="3" fillId="0" borderId="1" xfId="0" applyNumberFormat="1" applyFont="1" applyBorder="1" applyAlignment="1">
      <alignment vertical="top" wrapText="1"/>
    </xf>
    <xf numFmtId="0" fontId="3" fillId="0" borderId="11" xfId="0" applyFont="1" applyBorder="1" applyAlignment="1">
      <alignment vertical="top" wrapText="1"/>
    </xf>
    <xf numFmtId="0" fontId="3" fillId="0" borderId="11" xfId="0" applyFont="1" applyBorder="1" applyAlignment="1">
      <alignment vertical="center" wrapText="1"/>
    </xf>
    <xf numFmtId="0" fontId="10" fillId="0" borderId="11" xfId="0" applyFont="1" applyBorder="1" applyAlignment="1">
      <alignment vertical="center"/>
    </xf>
    <xf numFmtId="0" fontId="10" fillId="0" borderId="11" xfId="0" applyFont="1" applyBorder="1" applyAlignment="1">
      <alignment horizontal="left" vertical="top"/>
    </xf>
    <xf numFmtId="2" fontId="3" fillId="0" borderId="1" xfId="0" applyNumberFormat="1" applyFont="1" applyBorder="1" applyAlignment="1">
      <alignment vertical="top" wrapText="1"/>
    </xf>
    <xf numFmtId="0" fontId="2" fillId="0" borderId="11" xfId="0" applyFont="1" applyBorder="1" applyAlignment="1">
      <alignment horizontal="right" vertical="center" wrapText="1"/>
    </xf>
    <xf numFmtId="2" fontId="3" fillId="0" borderId="11" xfId="0" applyNumberFormat="1" applyFont="1" applyBorder="1" applyAlignment="1">
      <alignment horizontal="right" vertical="center" wrapText="1"/>
    </xf>
    <xf numFmtId="2" fontId="2" fillId="0" borderId="6" xfId="0" applyNumberFormat="1" applyFont="1" applyBorder="1" applyAlignment="1">
      <alignment vertical="top" wrapText="1"/>
    </xf>
    <xf numFmtId="2" fontId="2" fillId="0" borderId="11" xfId="0" applyNumberFormat="1" applyFont="1" applyBorder="1" applyAlignment="1">
      <alignment horizontal="right" vertical="center" wrapText="1"/>
    </xf>
    <xf numFmtId="10" fontId="2" fillId="0" borderId="11" xfId="0" applyNumberFormat="1" applyFont="1" applyBorder="1" applyAlignment="1">
      <alignment horizontal="right" vertical="center" wrapText="1"/>
    </xf>
    <xf numFmtId="0" fontId="2" fillId="0" borderId="19" xfId="0" applyFont="1" applyBorder="1" applyAlignment="1">
      <alignment vertical="center" wrapText="1"/>
    </xf>
    <xf numFmtId="0" fontId="10" fillId="0" borderId="5" xfId="0" applyFont="1" applyBorder="1" applyAlignment="1">
      <alignment horizontal="left" vertical="top" wrapText="1"/>
    </xf>
    <xf numFmtId="10" fontId="2" fillId="0" borderId="8" xfId="0" applyNumberFormat="1" applyFont="1" applyBorder="1" applyAlignment="1">
      <alignment horizontal="center" vertical="top" wrapText="1"/>
    </xf>
    <xf numFmtId="10" fontId="2" fillId="0" borderId="9" xfId="0" applyNumberFormat="1" applyFont="1" applyBorder="1" applyAlignment="1">
      <alignment horizontal="center" vertical="top" wrapText="1"/>
    </xf>
    <xf numFmtId="10" fontId="2" fillId="0" borderId="10" xfId="0" applyNumberFormat="1" applyFont="1" applyBorder="1" applyAlignment="1">
      <alignment horizontal="center" vertical="top" wrapText="1"/>
    </xf>
    <xf numFmtId="0" fontId="15" fillId="0" borderId="0" xfId="0" applyFont="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10" fillId="0" borderId="8" xfId="0" applyFont="1" applyBorder="1" applyAlignment="1">
      <alignment horizontal="left" vertical="top" wrapText="1"/>
    </xf>
    <xf numFmtId="0" fontId="10" fillId="0" borderId="9" xfId="0" applyFont="1" applyBorder="1" applyAlignment="1">
      <alignment horizontal="left" vertical="top" wrapText="1"/>
    </xf>
    <xf numFmtId="0" fontId="10" fillId="0" borderId="10" xfId="0" applyFont="1" applyBorder="1" applyAlignment="1">
      <alignment horizontal="left" vertical="top" wrapText="1"/>
    </xf>
    <xf numFmtId="0" fontId="10" fillId="0" borderId="11" xfId="0" applyFont="1" applyBorder="1" applyAlignment="1">
      <alignment horizontal="left" vertical="top" wrapText="1"/>
    </xf>
    <xf numFmtId="0" fontId="10" fillId="0" borderId="6"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7" xfId="0" applyFont="1" applyBorder="1" applyAlignment="1">
      <alignment horizontal="left" vertical="top" wrapText="1"/>
    </xf>
    <xf numFmtId="0" fontId="2" fillId="0" borderId="11" xfId="0" applyFont="1" applyBorder="1" applyAlignment="1">
      <alignment horizontal="center" vertical="top" wrapText="1"/>
    </xf>
    <xf numFmtId="0" fontId="2" fillId="0" borderId="13" xfId="0" applyFont="1" applyBorder="1" applyAlignment="1">
      <alignment horizontal="center" vertical="top" wrapText="1"/>
    </xf>
    <xf numFmtId="0" fontId="2" fillId="0" borderId="6" xfId="0" applyFont="1" applyBorder="1" applyAlignment="1">
      <alignment horizontal="center" vertical="top" wrapText="1"/>
    </xf>
    <xf numFmtId="0" fontId="3" fillId="0" borderId="11" xfId="0" applyFont="1" applyBorder="1" applyAlignment="1">
      <alignment horizontal="left" vertical="top" wrapText="1"/>
    </xf>
    <xf numFmtId="0" fontId="3" fillId="0" borderId="13" xfId="0" applyFont="1" applyBorder="1" applyAlignment="1">
      <alignment horizontal="left" vertical="top" wrapText="1"/>
    </xf>
    <xf numFmtId="0" fontId="3" fillId="0" borderId="6" xfId="0" applyFont="1" applyBorder="1" applyAlignment="1">
      <alignment horizontal="left" vertical="top" wrapText="1"/>
    </xf>
    <xf numFmtId="0" fontId="3" fillId="0" borderId="11" xfId="0" applyFont="1" applyBorder="1" applyAlignment="1">
      <alignment horizontal="right" vertical="top" wrapText="1"/>
    </xf>
    <xf numFmtId="0" fontId="3" fillId="0" borderId="13" xfId="0" applyFont="1" applyBorder="1" applyAlignment="1">
      <alignment horizontal="right" vertical="top" wrapText="1"/>
    </xf>
    <xf numFmtId="0" fontId="3" fillId="0" borderId="6" xfId="0" applyFont="1" applyBorder="1" applyAlignment="1">
      <alignment horizontal="right" vertical="top" wrapText="1"/>
    </xf>
    <xf numFmtId="0" fontId="2" fillId="0" borderId="3" xfId="0" applyFont="1" applyBorder="1" applyAlignment="1">
      <alignment horizontal="center" vertical="top" wrapText="1"/>
    </xf>
    <xf numFmtId="0" fontId="2" fillId="0" borderId="14" xfId="0" applyFont="1" applyBorder="1" applyAlignment="1">
      <alignment horizontal="center" vertical="top" wrapText="1"/>
    </xf>
    <xf numFmtId="0" fontId="2" fillId="0" borderId="15" xfId="0" applyFont="1" applyBorder="1" applyAlignment="1">
      <alignment horizontal="center" vertical="top" wrapText="1"/>
    </xf>
    <xf numFmtId="0" fontId="10" fillId="0" borderId="13" xfId="0" applyFont="1" applyBorder="1" applyAlignment="1">
      <alignment horizontal="left" vertical="top" wrapText="1"/>
    </xf>
    <xf numFmtId="0" fontId="3" fillId="0" borderId="0" xfId="0" applyFont="1" applyAlignment="1">
      <alignment horizontal="left" vertical="top" wrapText="1"/>
    </xf>
    <xf numFmtId="0" fontId="2" fillId="2" borderId="11"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0" borderId="17" xfId="0" applyFont="1" applyBorder="1" applyAlignment="1">
      <alignment horizontal="left" vertical="center" wrapText="1"/>
    </xf>
    <xf numFmtId="0" fontId="2" fillId="0" borderId="19" xfId="0" applyFont="1" applyBorder="1" applyAlignment="1">
      <alignment horizontal="left" vertical="center" wrapText="1"/>
    </xf>
    <xf numFmtId="2" fontId="2" fillId="0" borderId="4" xfId="0" applyNumberFormat="1" applyFont="1" applyBorder="1" applyAlignment="1">
      <alignment horizontal="left" vertical="top" wrapText="1"/>
    </xf>
    <xf numFmtId="2" fontId="2" fillId="0" borderId="5" xfId="0" applyNumberFormat="1" applyFont="1" applyBorder="1" applyAlignment="1">
      <alignment horizontal="left" vertical="top" wrapText="1"/>
    </xf>
    <xf numFmtId="2" fontId="2" fillId="0" borderId="17" xfId="0" applyNumberFormat="1" applyFont="1" applyBorder="1" applyAlignment="1">
      <alignment horizontal="left" vertical="top" wrapText="1"/>
    </xf>
    <xf numFmtId="2" fontId="2" fillId="0" borderId="18" xfId="0" applyNumberFormat="1" applyFont="1" applyBorder="1" applyAlignment="1">
      <alignment horizontal="left" vertical="top" wrapText="1"/>
    </xf>
    <xf numFmtId="2" fontId="2" fillId="0" borderId="16" xfId="0" applyNumberFormat="1" applyFont="1" applyBorder="1" applyAlignment="1">
      <alignment horizontal="left" vertical="top" wrapText="1"/>
    </xf>
    <xf numFmtId="2" fontId="2" fillId="0" borderId="19" xfId="0" applyNumberFormat="1" applyFont="1" applyBorder="1" applyAlignment="1">
      <alignment horizontal="left" vertical="top" wrapText="1"/>
    </xf>
    <xf numFmtId="2" fontId="2" fillId="0" borderId="11" xfId="0" applyNumberFormat="1" applyFont="1" applyBorder="1" applyAlignment="1">
      <alignment horizontal="left" vertical="top" wrapText="1"/>
    </xf>
    <xf numFmtId="2" fontId="2" fillId="0" borderId="13" xfId="0" applyNumberFormat="1" applyFont="1" applyBorder="1" applyAlignment="1">
      <alignment horizontal="left" vertical="top" wrapText="1"/>
    </xf>
    <xf numFmtId="2" fontId="2" fillId="0" borderId="6" xfId="0" applyNumberFormat="1" applyFont="1" applyBorder="1" applyAlignment="1">
      <alignment horizontal="left" vertical="top" wrapText="1"/>
    </xf>
    <xf numFmtId="2" fontId="2" fillId="2" borderId="11" xfId="0" applyNumberFormat="1" applyFont="1" applyFill="1" applyBorder="1" applyAlignment="1">
      <alignment horizontal="left" vertical="top" wrapText="1"/>
    </xf>
    <xf numFmtId="2" fontId="2" fillId="2" borderId="13" xfId="0" applyNumberFormat="1" applyFont="1" applyFill="1" applyBorder="1" applyAlignment="1">
      <alignment horizontal="left" vertical="top" wrapText="1"/>
    </xf>
    <xf numFmtId="2" fontId="2" fillId="2" borderId="6" xfId="0" applyNumberFormat="1" applyFont="1" applyFill="1" applyBorder="1" applyAlignment="1">
      <alignment horizontal="left" vertical="top" wrapText="1"/>
    </xf>
    <xf numFmtId="0" fontId="10" fillId="0" borderId="11" xfId="0" applyFont="1" applyBorder="1" applyAlignment="1">
      <alignment horizontal="left"/>
    </xf>
    <xf numFmtId="0" fontId="10" fillId="0" borderId="13" xfId="0" applyFont="1" applyBorder="1" applyAlignment="1">
      <alignment horizontal="left"/>
    </xf>
    <xf numFmtId="0" fontId="10" fillId="0" borderId="6" xfId="0" applyFont="1" applyBorder="1" applyAlignment="1">
      <alignment horizontal="left"/>
    </xf>
    <xf numFmtId="0" fontId="3" fillId="0" borderId="11" xfId="0" applyFont="1" applyBorder="1" applyAlignment="1">
      <alignment horizontal="center" vertical="top" wrapText="1"/>
    </xf>
    <xf numFmtId="0" fontId="3" fillId="0" borderId="13" xfId="0" applyFont="1" applyBorder="1" applyAlignment="1">
      <alignment horizontal="center" vertical="top" wrapText="1"/>
    </xf>
    <xf numFmtId="0" fontId="3" fillId="0" borderId="6" xfId="0" applyFont="1" applyBorder="1" applyAlignment="1">
      <alignment horizontal="center" vertical="top" wrapText="1"/>
    </xf>
    <xf numFmtId="0" fontId="3" fillId="0" borderId="3" xfId="0" applyFont="1" applyBorder="1" applyAlignment="1">
      <alignment horizontal="left" vertical="top" wrapText="1"/>
    </xf>
    <xf numFmtId="0" fontId="3" fillId="0" borderId="15" xfId="0" applyFont="1" applyBorder="1" applyAlignment="1">
      <alignment horizontal="left" vertical="top" wrapText="1"/>
    </xf>
    <xf numFmtId="0" fontId="3" fillId="0" borderId="3" xfId="0" applyFont="1" applyBorder="1" applyAlignment="1">
      <alignment horizontal="center" vertical="top" wrapText="1"/>
    </xf>
    <xf numFmtId="0" fontId="3" fillId="0" borderId="15" xfId="0" applyFont="1" applyBorder="1" applyAlignment="1">
      <alignment horizontal="center" vertical="top" wrapText="1"/>
    </xf>
    <xf numFmtId="0" fontId="13" fillId="0" borderId="0" xfId="0" applyFont="1" applyAlignment="1">
      <alignment horizontal="center" vertical="top" wrapText="1"/>
    </xf>
    <xf numFmtId="0" fontId="2" fillId="0" borderId="1" xfId="0" applyFont="1" applyBorder="1" applyAlignment="1">
      <alignment horizontal="left" vertical="top" wrapText="1"/>
    </xf>
    <xf numFmtId="0" fontId="10" fillId="0" borderId="28" xfId="0" applyFont="1" applyBorder="1" applyAlignment="1">
      <alignment horizontal="left" vertical="top" wrapText="1"/>
    </xf>
    <xf numFmtId="0" fontId="10" fillId="0" borderId="29" xfId="0" applyFont="1" applyBorder="1" applyAlignment="1">
      <alignment horizontal="left" vertical="top" wrapText="1"/>
    </xf>
    <xf numFmtId="0" fontId="10" fillId="0" borderId="30" xfId="0" applyFont="1" applyBorder="1" applyAlignment="1">
      <alignment horizontal="left" vertical="top" wrapText="1"/>
    </xf>
    <xf numFmtId="0" fontId="10" fillId="0" borderId="4" xfId="0" applyFont="1" applyBorder="1" applyAlignment="1">
      <alignment horizontal="left" vertical="top" wrapText="1"/>
    </xf>
    <xf numFmtId="0" fontId="10" fillId="0" borderId="17" xfId="0" applyFont="1" applyBorder="1" applyAlignment="1">
      <alignment horizontal="left" vertical="top" wrapText="1"/>
    </xf>
    <xf numFmtId="0" fontId="2" fillId="0" borderId="16" xfId="0" applyFont="1" applyBorder="1" applyAlignment="1">
      <alignment horizontal="center" vertical="top" wrapText="1"/>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3" fillId="0" borderId="14" xfId="0" applyFont="1" applyBorder="1" applyAlignment="1">
      <alignment horizontal="center" vertical="top" wrapText="1"/>
    </xf>
    <xf numFmtId="0" fontId="3" fillId="0" borderId="1" xfId="0" applyFont="1" applyBorder="1" applyAlignment="1">
      <alignment horizontal="center" vertical="top" wrapText="1"/>
    </xf>
    <xf numFmtId="0" fontId="2" fillId="0" borderId="1" xfId="0" applyFont="1" applyBorder="1" applyAlignment="1">
      <alignment horizontal="center" vertical="center" wrapText="1"/>
    </xf>
    <xf numFmtId="0" fontId="2" fillId="0" borderId="0" xfId="0" applyFont="1" applyAlignment="1">
      <alignment horizontal="center" vertical="top" wrapText="1"/>
    </xf>
    <xf numFmtId="2" fontId="2" fillId="0" borderId="3" xfId="0" applyNumberFormat="1" applyFont="1" applyBorder="1" applyAlignment="1">
      <alignment horizontal="center" vertical="top" wrapText="1"/>
    </xf>
    <xf numFmtId="2" fontId="2" fillId="0" borderId="15" xfId="0" applyNumberFormat="1" applyFont="1" applyBorder="1" applyAlignment="1">
      <alignment horizontal="center" vertical="top" wrapText="1"/>
    </xf>
    <xf numFmtId="0" fontId="11" fillId="0" borderId="1" xfId="0" applyFont="1" applyBorder="1" applyAlignment="1">
      <alignment horizontal="center" vertical="top" wrapText="1"/>
    </xf>
    <xf numFmtId="0" fontId="11" fillId="0" borderId="3" xfId="0" applyFont="1" applyBorder="1" applyAlignment="1">
      <alignment horizontal="center" vertical="top" wrapText="1"/>
    </xf>
    <xf numFmtId="0" fontId="5" fillId="0" borderId="3" xfId="0" applyFont="1" applyBorder="1" applyAlignment="1">
      <alignment horizontal="left" vertical="top" wrapText="1"/>
    </xf>
    <xf numFmtId="0" fontId="5" fillId="0" borderId="15" xfId="0" applyFont="1" applyBorder="1" applyAlignment="1">
      <alignment horizontal="left" vertical="top" wrapText="1"/>
    </xf>
    <xf numFmtId="0" fontId="12" fillId="0" borderId="11" xfId="0" applyFont="1" applyBorder="1" applyAlignment="1">
      <alignment horizontal="left" vertical="top" wrapText="1"/>
    </xf>
    <xf numFmtId="0" fontId="12" fillId="0" borderId="13" xfId="0" applyFont="1" applyBorder="1" applyAlignment="1">
      <alignment horizontal="left" vertical="top" wrapText="1"/>
    </xf>
    <xf numFmtId="0" fontId="12" fillId="0" borderId="6"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10" xfId="0" applyFont="1" applyBorder="1" applyAlignment="1">
      <alignment horizontal="left" vertical="top" wrapText="1"/>
    </xf>
    <xf numFmtId="0" fontId="1" fillId="0" borderId="0" xfId="0" applyFont="1" applyAlignment="1">
      <alignment horizontal="left" vertical="top" wrapText="1"/>
    </xf>
    <xf numFmtId="0" fontId="6" fillId="0" borderId="7" xfId="0" applyFont="1" applyBorder="1" applyAlignment="1">
      <alignment horizontal="left" vertical="top" wrapText="1"/>
    </xf>
    <xf numFmtId="0" fontId="6" fillId="0" borderId="11" xfId="0" applyFont="1" applyBorder="1" applyAlignment="1">
      <alignment horizontal="left" vertical="top" wrapText="1"/>
    </xf>
    <xf numFmtId="0" fontId="7" fillId="0" borderId="6" xfId="0" applyFont="1" applyBorder="1" applyAlignment="1">
      <alignment horizontal="left" vertical="top" wrapText="1"/>
    </xf>
    <xf numFmtId="0" fontId="4" fillId="0" borderId="1" xfId="0" applyFont="1" applyBorder="1" applyAlignment="1">
      <alignment horizontal="left" vertical="top" wrapText="1"/>
    </xf>
    <xf numFmtId="0" fontId="4" fillId="0" borderId="3" xfId="0" applyFont="1" applyBorder="1" applyAlignment="1">
      <alignment horizontal="left" vertical="top" wrapText="1"/>
    </xf>
    <xf numFmtId="10" fontId="5" fillId="0" borderId="7" xfId="0" applyNumberFormat="1" applyFont="1" applyBorder="1" applyAlignment="1">
      <alignment horizontal="center" vertical="top"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top" wrapText="1"/>
    </xf>
    <xf numFmtId="0" fontId="5" fillId="0" borderId="13" xfId="0" applyFont="1" applyBorder="1" applyAlignment="1">
      <alignment horizontal="center" vertical="top" wrapText="1"/>
    </xf>
    <xf numFmtId="0" fontId="5" fillId="0" borderId="6" xfId="0" applyFont="1" applyBorder="1" applyAlignment="1">
      <alignment horizontal="center" vertical="top" wrapText="1"/>
    </xf>
    <xf numFmtId="0" fontId="6" fillId="0" borderId="13" xfId="0" applyFont="1" applyBorder="1" applyAlignment="1">
      <alignment horizontal="left" vertical="top" wrapText="1"/>
    </xf>
    <xf numFmtId="0" fontId="6" fillId="0" borderId="6" xfId="0" applyFont="1" applyBorder="1" applyAlignment="1">
      <alignment horizontal="left" vertical="top" wrapText="1"/>
    </xf>
    <xf numFmtId="0" fontId="4" fillId="0" borderId="11" xfId="0" applyFont="1" applyBorder="1" applyAlignment="1">
      <alignment horizontal="right" vertical="top" wrapText="1"/>
    </xf>
    <xf numFmtId="0" fontId="4" fillId="0" borderId="13" xfId="0" applyFont="1" applyBorder="1" applyAlignment="1">
      <alignment horizontal="right" vertical="top" wrapText="1"/>
    </xf>
    <xf numFmtId="0" fontId="4" fillId="0" borderId="6" xfId="0" applyFont="1" applyBorder="1" applyAlignment="1">
      <alignment horizontal="right" vertical="top" wrapText="1"/>
    </xf>
    <xf numFmtId="0" fontId="4" fillId="0" borderId="6" xfId="0" applyFont="1" applyBorder="1" applyAlignment="1">
      <alignment horizontal="left" vertical="top" wrapText="1"/>
    </xf>
    <xf numFmtId="0" fontId="2" fillId="0" borderId="33" xfId="0" applyFont="1" applyBorder="1" applyAlignment="1">
      <alignment horizontal="left" vertical="center" wrapText="1"/>
    </xf>
    <xf numFmtId="2" fontId="2" fillId="0" borderId="4" xfId="0" applyNumberFormat="1" applyFont="1" applyBorder="1" applyAlignment="1">
      <alignment horizontal="center" vertical="top" wrapText="1"/>
    </xf>
    <xf numFmtId="2" fontId="2" fillId="0" borderId="5" xfId="0" applyNumberFormat="1" applyFont="1" applyBorder="1" applyAlignment="1">
      <alignment horizontal="center" vertical="top" wrapText="1"/>
    </xf>
    <xf numFmtId="2" fontId="2" fillId="0" borderId="17" xfId="0" applyNumberFormat="1" applyFont="1" applyBorder="1" applyAlignment="1">
      <alignment horizontal="center" vertical="top" wrapText="1"/>
    </xf>
    <xf numFmtId="2" fontId="2" fillId="0" borderId="18" xfId="0" applyNumberFormat="1" applyFont="1" applyBorder="1" applyAlignment="1">
      <alignment horizontal="center" vertical="top" wrapText="1"/>
    </xf>
    <xf numFmtId="2" fontId="2" fillId="0" borderId="16" xfId="0" applyNumberFormat="1" applyFont="1" applyBorder="1" applyAlignment="1">
      <alignment horizontal="center" vertical="top" wrapText="1"/>
    </xf>
    <xf numFmtId="2" fontId="2" fillId="0" borderId="19" xfId="0" applyNumberFormat="1" applyFont="1" applyBorder="1" applyAlignment="1">
      <alignment horizontal="center" vertical="top" wrapText="1"/>
    </xf>
    <xf numFmtId="0" fontId="10" fillId="0" borderId="1" xfId="0" applyFont="1" applyBorder="1" applyAlignment="1">
      <alignment horizontal="left"/>
    </xf>
    <xf numFmtId="2" fontId="2" fillId="0" borderId="14" xfId="0" applyNumberFormat="1" applyFont="1" applyBorder="1" applyAlignment="1">
      <alignment horizontal="center" vertical="top" wrapText="1"/>
    </xf>
    <xf numFmtId="2" fontId="2" fillId="0" borderId="1" xfId="0" applyNumberFormat="1" applyFont="1" applyBorder="1" applyAlignment="1">
      <alignment horizontal="center" vertical="top" wrapText="1"/>
    </xf>
    <xf numFmtId="0" fontId="10" fillId="0" borderId="6" xfId="0" applyFont="1" applyBorder="1" applyAlignment="1">
      <alignment horizontal="left" wrapText="1"/>
    </xf>
    <xf numFmtId="0" fontId="10" fillId="0" borderId="1" xfId="0" applyFont="1" applyBorder="1" applyAlignment="1">
      <alignment horizontal="left" wrapText="1"/>
    </xf>
    <xf numFmtId="0" fontId="5" fillId="0" borderId="1" xfId="0" applyFont="1" applyBorder="1" applyAlignment="1">
      <alignment horizontal="left" vertical="top" wrapText="1"/>
    </xf>
    <xf numFmtId="0" fontId="4" fillId="0" borderId="15" xfId="0" applyFont="1" applyBorder="1" applyAlignment="1">
      <alignment horizontal="left" vertical="top" wrapText="1"/>
    </xf>
    <xf numFmtId="0" fontId="4" fillId="0" borderId="3" xfId="0" applyFont="1" applyBorder="1" applyAlignment="1">
      <alignment horizontal="center" vertical="top" wrapText="1"/>
    </xf>
    <xf numFmtId="0" fontId="4" fillId="0" borderId="15" xfId="0" applyFont="1" applyBorder="1" applyAlignment="1">
      <alignment horizontal="center" vertical="top" wrapText="1"/>
    </xf>
    <xf numFmtId="0" fontId="5" fillId="2" borderId="1" xfId="0" applyFont="1" applyFill="1" applyBorder="1" applyAlignment="1">
      <alignment horizontal="left" vertical="top" wrapText="1"/>
    </xf>
    <xf numFmtId="0" fontId="5" fillId="0" borderId="14" xfId="0" applyFont="1" applyBorder="1" applyAlignment="1">
      <alignment horizontal="left" vertical="top" wrapText="1"/>
    </xf>
    <xf numFmtId="0" fontId="2" fillId="0" borderId="17" xfId="0" applyFont="1" applyBorder="1" applyAlignment="1">
      <alignment horizontal="left" vertical="top" wrapText="1"/>
    </xf>
    <xf numFmtId="0" fontId="4" fillId="0" borderId="1" xfId="0" applyFont="1" applyBorder="1" applyAlignment="1">
      <alignment horizontal="center" vertical="top" wrapText="1"/>
    </xf>
    <xf numFmtId="0" fontId="6" fillId="0" borderId="1" xfId="0" applyFont="1" applyBorder="1" applyAlignment="1">
      <alignment horizontal="left" vertical="top" wrapText="1"/>
    </xf>
    <xf numFmtId="0" fontId="4" fillId="0" borderId="11" xfId="0" applyFont="1" applyBorder="1" applyAlignment="1">
      <alignment horizontal="left" vertical="top" wrapText="1"/>
    </xf>
    <xf numFmtId="0" fontId="4" fillId="0" borderId="13" xfId="0" applyFont="1" applyBorder="1" applyAlignment="1">
      <alignment horizontal="left" vertical="top" wrapText="1"/>
    </xf>
    <xf numFmtId="10" fontId="5" fillId="0" borderId="1" xfId="0" applyNumberFormat="1" applyFont="1" applyBorder="1" applyAlignment="1">
      <alignment horizontal="center" vertical="top" wrapText="1"/>
    </xf>
    <xf numFmtId="0" fontId="5" fillId="0" borderId="1" xfId="0" applyFont="1" applyBorder="1" applyAlignment="1">
      <alignment horizontal="center" vertical="top" wrapText="1"/>
    </xf>
    <xf numFmtId="10" fontId="2" fillId="0" borderId="24" xfId="0" applyNumberFormat="1" applyFont="1" applyBorder="1" applyAlignment="1">
      <alignment horizontal="center" vertical="top" wrapText="1"/>
    </xf>
    <xf numFmtId="0" fontId="2" fillId="0" borderId="25" xfId="0" applyFont="1" applyBorder="1" applyAlignment="1">
      <alignment horizontal="center" vertical="top" wrapText="1"/>
    </xf>
    <xf numFmtId="0" fontId="2" fillId="0" borderId="26" xfId="0" applyFont="1" applyBorder="1" applyAlignment="1">
      <alignment horizontal="center" vertical="top" wrapText="1"/>
    </xf>
    <xf numFmtId="10" fontId="5" fillId="0" borderId="8" xfId="0" applyNumberFormat="1" applyFont="1" applyBorder="1" applyAlignment="1">
      <alignment horizontal="center" vertical="center" wrapText="1"/>
    </xf>
    <xf numFmtId="0" fontId="5" fillId="0" borderId="11" xfId="0" applyFont="1" applyBorder="1" applyAlignment="1">
      <alignment horizontal="left" vertical="top" wrapText="1"/>
    </xf>
    <xf numFmtId="0" fontId="5" fillId="0" borderId="13" xfId="0" applyFont="1" applyBorder="1" applyAlignment="1">
      <alignment horizontal="left" vertical="top" wrapText="1"/>
    </xf>
    <xf numFmtId="0" fontId="5" fillId="0" borderId="6" xfId="0" applyFont="1" applyBorder="1" applyAlignment="1">
      <alignment horizontal="left" vertical="top" wrapText="1"/>
    </xf>
    <xf numFmtId="2" fontId="2" fillId="0" borderId="4" xfId="0" applyNumberFormat="1" applyFont="1" applyBorder="1" applyAlignment="1">
      <alignment horizontal="center" wrapText="1"/>
    </xf>
    <xf numFmtId="2" fontId="2" fillId="0" borderId="5" xfId="0" applyNumberFormat="1" applyFont="1" applyBorder="1" applyAlignment="1">
      <alignment horizontal="center" wrapText="1"/>
    </xf>
    <xf numFmtId="2" fontId="2" fillId="0" borderId="17" xfId="0" applyNumberFormat="1" applyFont="1" applyBorder="1" applyAlignment="1">
      <alignment horizontal="center" wrapText="1"/>
    </xf>
    <xf numFmtId="2" fontId="2" fillId="0" borderId="18" xfId="0" applyNumberFormat="1" applyFont="1" applyBorder="1" applyAlignment="1">
      <alignment horizontal="center" wrapText="1"/>
    </xf>
    <xf numFmtId="2" fontId="2" fillId="0" borderId="16" xfId="0" applyNumberFormat="1" applyFont="1" applyBorder="1" applyAlignment="1">
      <alignment horizontal="center" wrapText="1"/>
    </xf>
    <xf numFmtId="2" fontId="2" fillId="0" borderId="19" xfId="0" applyNumberFormat="1" applyFont="1" applyBorder="1" applyAlignment="1">
      <alignment horizontal="center" wrapText="1"/>
    </xf>
    <xf numFmtId="0" fontId="4" fillId="0" borderId="11" xfId="0" applyFont="1" applyBorder="1" applyAlignment="1">
      <alignment horizontal="center" vertical="top" wrapText="1"/>
    </xf>
    <xf numFmtId="0" fontId="4" fillId="0" borderId="13" xfId="0" applyFont="1" applyBorder="1" applyAlignment="1">
      <alignment horizontal="center" vertical="top" wrapText="1"/>
    </xf>
    <xf numFmtId="0" fontId="4" fillId="0" borderId="6" xfId="0" applyFont="1" applyBorder="1" applyAlignment="1">
      <alignment horizontal="center" vertical="top" wrapText="1"/>
    </xf>
    <xf numFmtId="0" fontId="6" fillId="0" borderId="24" xfId="0" applyFont="1" applyBorder="1" applyAlignment="1">
      <alignment horizontal="left" vertical="top" wrapText="1"/>
    </xf>
    <xf numFmtId="0" fontId="6" fillId="0" borderId="25" xfId="0" applyFont="1" applyBorder="1" applyAlignment="1">
      <alignment horizontal="left" vertical="top" wrapText="1"/>
    </xf>
    <xf numFmtId="0" fontId="6" fillId="0" borderId="26" xfId="0" applyFont="1" applyBorder="1" applyAlignment="1">
      <alignment horizontal="left" vertical="top" wrapText="1"/>
    </xf>
    <xf numFmtId="0" fontId="10" fillId="0" borderId="18" xfId="0" applyFont="1" applyBorder="1" applyAlignment="1">
      <alignment horizontal="left" vertical="top"/>
    </xf>
    <xf numFmtId="0" fontId="10" fillId="0" borderId="16" xfId="0" applyFont="1" applyBorder="1" applyAlignment="1">
      <alignment horizontal="left" vertical="top"/>
    </xf>
    <xf numFmtId="0" fontId="10" fillId="0" borderId="19" xfId="0" applyFont="1" applyBorder="1" applyAlignment="1">
      <alignment horizontal="left" vertical="top"/>
    </xf>
    <xf numFmtId="2" fontId="2" fillId="2" borderId="11" xfId="0" applyNumberFormat="1" applyFont="1" applyFill="1" applyBorder="1" applyAlignment="1">
      <alignment horizontal="center" vertical="top" wrapText="1"/>
    </xf>
    <xf numFmtId="2" fontId="2" fillId="2" borderId="13" xfId="0" applyNumberFormat="1" applyFont="1" applyFill="1" applyBorder="1" applyAlignment="1">
      <alignment horizontal="center" vertical="top" wrapText="1"/>
    </xf>
    <xf numFmtId="2" fontId="2" fillId="2" borderId="6" xfId="0" applyNumberFormat="1" applyFont="1" applyFill="1" applyBorder="1" applyAlignment="1">
      <alignment horizontal="center" vertical="top" wrapText="1"/>
    </xf>
    <xf numFmtId="2" fontId="2" fillId="0" borderId="11" xfId="0" applyNumberFormat="1" applyFont="1" applyBorder="1" applyAlignment="1">
      <alignment horizontal="center" vertical="top" wrapText="1"/>
    </xf>
    <xf numFmtId="2" fontId="2" fillId="0" borderId="13" xfId="0" applyNumberFormat="1" applyFont="1" applyBorder="1" applyAlignment="1">
      <alignment horizontal="center" vertical="top" wrapText="1"/>
    </xf>
    <xf numFmtId="2" fontId="2" fillId="0" borderId="6" xfId="0" applyNumberFormat="1" applyFont="1" applyBorder="1" applyAlignment="1">
      <alignment horizontal="center" vertical="top" wrapText="1"/>
    </xf>
    <xf numFmtId="0" fontId="2" fillId="2" borderId="11"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6" xfId="0" applyFont="1" applyFill="1" applyBorder="1" applyAlignment="1">
      <alignment horizontal="center" vertical="top" wrapText="1"/>
    </xf>
    <xf numFmtId="10" fontId="2" fillId="0" borderId="1" xfId="0" applyNumberFormat="1" applyFont="1" applyBorder="1" applyAlignment="1">
      <alignment horizontal="center" vertical="top" wrapText="1"/>
    </xf>
    <xf numFmtId="0" fontId="2" fillId="0" borderId="1" xfId="0" applyFont="1" applyBorder="1" applyAlignment="1">
      <alignment horizontal="center" vertical="top" wrapText="1"/>
    </xf>
    <xf numFmtId="0" fontId="2" fillId="0" borderId="27" xfId="0" applyFont="1" applyBorder="1" applyAlignment="1">
      <alignment horizontal="center" vertical="top" wrapText="1"/>
    </xf>
    <xf numFmtId="0" fontId="10" fillId="0" borderId="1" xfId="0" applyFont="1" applyBorder="1" applyAlignment="1">
      <alignment horizontal="left" vertical="top" wrapText="1"/>
    </xf>
    <xf numFmtId="2" fontId="10" fillId="0" borderId="1" xfId="0" applyNumberFormat="1" applyFont="1" applyBorder="1" applyAlignment="1">
      <alignment horizontal="center" vertical="top" wrapText="1"/>
    </xf>
    <xf numFmtId="0" fontId="2" fillId="2" borderId="1" xfId="0" applyFont="1" applyFill="1" applyBorder="1" applyAlignment="1">
      <alignment horizontal="left" vertical="top" wrapText="1"/>
    </xf>
    <xf numFmtId="0" fontId="3" fillId="0" borderId="1" xfId="0" applyFont="1" applyBorder="1" applyAlignment="1">
      <alignment horizontal="left" vertical="top" wrapText="1"/>
    </xf>
    <xf numFmtId="0" fontId="10" fillId="0" borderId="0" xfId="0" applyFont="1" applyAlignment="1">
      <alignment horizontal="left" vertical="top" wrapText="1"/>
    </xf>
    <xf numFmtId="0" fontId="2" fillId="0" borderId="12" xfId="0" applyFont="1" applyBorder="1" applyAlignment="1">
      <alignment horizontal="center" vertical="top" wrapText="1"/>
    </xf>
    <xf numFmtId="0" fontId="2" fillId="2" borderId="1" xfId="0" applyFont="1" applyFill="1" applyBorder="1" applyAlignment="1">
      <alignment horizontal="center" vertical="top" wrapText="1"/>
    </xf>
    <xf numFmtId="0" fontId="13" fillId="0" borderId="13" xfId="0" applyFont="1" applyBorder="1" applyAlignment="1">
      <alignment horizontal="left" vertical="top" wrapText="1"/>
    </xf>
    <xf numFmtId="0" fontId="13" fillId="0" borderId="6" xfId="0" applyFont="1" applyBorder="1" applyAlignment="1">
      <alignment horizontal="left" vertical="top" wrapText="1"/>
    </xf>
    <xf numFmtId="0" fontId="10" fillId="0" borderId="7" xfId="0" applyFont="1" applyBorder="1" applyAlignment="1">
      <alignment horizontal="left" vertical="top" wrapText="1"/>
    </xf>
    <xf numFmtId="0" fontId="2" fillId="2" borderId="12" xfId="0" applyFont="1" applyFill="1" applyBorder="1" applyAlignment="1">
      <alignment horizontal="center" vertical="top" wrapText="1"/>
    </xf>
    <xf numFmtId="10" fontId="2" fillId="0" borderId="7" xfId="0" applyNumberFormat="1" applyFont="1" applyBorder="1" applyAlignment="1">
      <alignment horizontal="center" vertical="top" wrapText="1"/>
    </xf>
    <xf numFmtId="10" fontId="2" fillId="0" borderId="8" xfId="0" applyNumberFormat="1"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10" fontId="2" fillId="0" borderId="12" xfId="0" applyNumberFormat="1" applyFont="1" applyBorder="1" applyAlignment="1">
      <alignment horizontal="center" vertical="top" wrapText="1"/>
    </xf>
    <xf numFmtId="0" fontId="10" fillId="0" borderId="31" xfId="0" applyFont="1" applyBorder="1" applyAlignment="1">
      <alignment horizontal="left" vertical="top" wrapText="1"/>
    </xf>
    <xf numFmtId="2" fontId="2" fillId="0" borderId="4" xfId="0" applyNumberFormat="1" applyFont="1" applyBorder="1" applyAlignment="1">
      <alignment horizontal="center" vertical="center" wrapText="1"/>
    </xf>
    <xf numFmtId="2" fontId="2" fillId="0" borderId="5" xfId="0" applyNumberFormat="1" applyFont="1" applyBorder="1" applyAlignment="1">
      <alignment horizontal="center" vertical="center" wrapText="1"/>
    </xf>
    <xf numFmtId="2" fontId="2" fillId="0" borderId="17" xfId="0" applyNumberFormat="1" applyFont="1" applyBorder="1" applyAlignment="1">
      <alignment horizontal="center" vertical="center" wrapText="1"/>
    </xf>
    <xf numFmtId="2" fontId="2" fillId="0" borderId="18" xfId="0" applyNumberFormat="1" applyFont="1" applyBorder="1" applyAlignment="1">
      <alignment horizontal="center" vertical="center" wrapText="1"/>
    </xf>
    <xf numFmtId="2" fontId="2" fillId="0" borderId="16" xfId="0" applyNumberFormat="1" applyFont="1" applyBorder="1" applyAlignment="1">
      <alignment horizontal="center" vertical="center" wrapText="1"/>
    </xf>
    <xf numFmtId="2" fontId="2" fillId="0" borderId="19" xfId="0" applyNumberFormat="1" applyFont="1" applyBorder="1" applyAlignment="1">
      <alignment horizontal="center" vertical="center" wrapText="1"/>
    </xf>
    <xf numFmtId="0" fontId="13" fillId="0" borderId="5" xfId="0" applyFont="1" applyBorder="1" applyAlignment="1">
      <alignment horizontal="center" vertical="top" wrapText="1"/>
    </xf>
    <xf numFmtId="0" fontId="10" fillId="0" borderId="18" xfId="0" applyFont="1" applyBorder="1" applyAlignment="1">
      <alignment horizontal="left" vertical="top" wrapText="1"/>
    </xf>
    <xf numFmtId="0" fontId="10" fillId="0" borderId="16" xfId="0" applyFont="1" applyBorder="1" applyAlignment="1">
      <alignment horizontal="left" vertical="top" wrapText="1"/>
    </xf>
    <xf numFmtId="0" fontId="10" fillId="0" borderId="19" xfId="0" applyFont="1" applyBorder="1" applyAlignment="1">
      <alignment horizontal="left" vertical="top" wrapText="1"/>
    </xf>
    <xf numFmtId="10" fontId="2" fillId="2" borderId="8" xfId="0" applyNumberFormat="1" applyFont="1" applyFill="1" applyBorder="1" applyAlignment="1">
      <alignment horizontal="center" vertical="top" wrapText="1"/>
    </xf>
    <xf numFmtId="10" fontId="2" fillId="2" borderId="9" xfId="0" applyNumberFormat="1" applyFont="1" applyFill="1" applyBorder="1" applyAlignment="1">
      <alignment horizontal="center" vertical="top" wrapText="1"/>
    </xf>
    <xf numFmtId="10" fontId="2" fillId="2" borderId="10" xfId="0" applyNumberFormat="1" applyFont="1" applyFill="1" applyBorder="1" applyAlignment="1">
      <alignment horizontal="center" vertical="top" wrapText="1"/>
    </xf>
    <xf numFmtId="0" fontId="13" fillId="0" borderId="0" xfId="0" applyFont="1" applyAlignment="1">
      <alignment horizontal="left" vertical="top" wrapText="1"/>
    </xf>
    <xf numFmtId="10" fontId="2" fillId="2" borderId="24" xfId="0" applyNumberFormat="1" applyFont="1" applyFill="1" applyBorder="1" applyAlignment="1">
      <alignment horizontal="center" vertical="top" wrapText="1"/>
    </xf>
    <xf numFmtId="10" fontId="2" fillId="2" borderId="25" xfId="0" applyNumberFormat="1" applyFont="1" applyFill="1" applyBorder="1" applyAlignment="1">
      <alignment horizontal="center" vertical="top" wrapText="1"/>
    </xf>
    <xf numFmtId="10" fontId="2" fillId="2" borderId="26" xfId="0" applyNumberFormat="1" applyFont="1" applyFill="1" applyBorder="1" applyAlignment="1">
      <alignment horizontal="center" vertical="top" wrapText="1"/>
    </xf>
    <xf numFmtId="10" fontId="2" fillId="2" borderId="1" xfId="0" applyNumberFormat="1" applyFont="1" applyFill="1" applyBorder="1" applyAlignment="1">
      <alignment horizontal="center" vertical="top" wrapText="1"/>
    </xf>
    <xf numFmtId="0" fontId="2" fillId="0" borderId="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10" fillId="0" borderId="13" xfId="0" applyFont="1" applyBorder="1" applyAlignment="1">
      <alignment horizontal="left" wrapText="1"/>
    </xf>
    <xf numFmtId="0" fontId="2" fillId="0" borderId="24" xfId="0" applyFont="1" applyBorder="1" applyAlignment="1">
      <alignment horizontal="center" vertical="top" wrapText="1"/>
    </xf>
    <xf numFmtId="0" fontId="10" fillId="0" borderId="11" xfId="0" applyFont="1" applyBorder="1" applyAlignment="1">
      <alignment horizontal="center" vertical="top" wrapText="1"/>
    </xf>
    <xf numFmtId="0" fontId="10" fillId="0" borderId="13" xfId="0" applyFont="1" applyBorder="1" applyAlignment="1">
      <alignment horizontal="center" vertical="top" wrapText="1"/>
    </xf>
    <xf numFmtId="0" fontId="3" fillId="0" borderId="16" xfId="0" applyFont="1" applyBorder="1" applyAlignment="1">
      <alignment horizontal="left" vertical="top" wrapText="1"/>
    </xf>
    <xf numFmtId="2" fontId="2" fillId="0" borderId="1" xfId="0" applyNumberFormat="1" applyFont="1" applyBorder="1" applyAlignment="1">
      <alignment horizontal="left" vertical="top" wrapText="1"/>
    </xf>
    <xf numFmtId="0" fontId="10" fillId="3" borderId="13" xfId="0" applyFont="1" applyFill="1" applyBorder="1" applyAlignment="1">
      <alignment horizontal="left"/>
    </xf>
    <xf numFmtId="0" fontId="10" fillId="3" borderId="6" xfId="0" applyFont="1" applyFill="1" applyBorder="1" applyAlignment="1">
      <alignment horizontal="left"/>
    </xf>
    <xf numFmtId="0" fontId="2" fillId="0" borderId="11" xfId="0" applyFont="1" applyBorder="1" applyAlignment="1">
      <alignment horizontal="center" vertical="center" wrapText="1"/>
    </xf>
    <xf numFmtId="0" fontId="10" fillId="0" borderId="27" xfId="0" applyFont="1" applyBorder="1" applyAlignment="1">
      <alignment horizontal="left" vertical="top" wrapText="1"/>
    </xf>
    <xf numFmtId="0" fontId="2" fillId="0" borderId="32" xfId="0" applyFont="1" applyBorder="1" applyAlignment="1">
      <alignment horizontal="left" vertical="top"/>
    </xf>
    <xf numFmtId="0" fontId="2" fillId="0" borderId="0" xfId="0" applyFont="1" applyAlignment="1">
      <alignment horizontal="left" vertical="top"/>
    </xf>
    <xf numFmtId="0" fontId="2" fillId="0" borderId="1" xfId="0" applyFont="1" applyBorder="1" applyAlignment="1">
      <alignment horizontal="left" vertical="top"/>
    </xf>
    <xf numFmtId="10" fontId="2" fillId="0" borderId="34" xfId="0" applyNumberFormat="1" applyFont="1" applyBorder="1" applyAlignment="1">
      <alignment horizontal="center" vertical="top" wrapText="1"/>
    </xf>
    <xf numFmtId="0" fontId="2" fillId="0" borderId="29" xfId="0" applyFont="1" applyBorder="1" applyAlignment="1">
      <alignment horizontal="center" vertical="top" wrapText="1"/>
    </xf>
    <xf numFmtId="0" fontId="2" fillId="0" borderId="35" xfId="0" applyFont="1" applyBorder="1" applyAlignment="1">
      <alignment horizontal="center" vertical="top" wrapText="1"/>
    </xf>
    <xf numFmtId="0" fontId="2" fillId="0" borderId="13" xfId="0" applyFont="1" applyBorder="1" applyAlignment="1">
      <alignment horizontal="left" wrapText="1"/>
    </xf>
    <xf numFmtId="0" fontId="10" fillId="0" borderId="4" xfId="0" applyFont="1" applyBorder="1" applyAlignment="1">
      <alignment horizontal="center" vertical="top" wrapText="1"/>
    </xf>
    <xf numFmtId="0" fontId="10" fillId="0" borderId="5" xfId="0" applyFont="1" applyBorder="1" applyAlignment="1">
      <alignment horizontal="center" vertical="top" wrapText="1"/>
    </xf>
    <xf numFmtId="0" fontId="3" fillId="0" borderId="14" xfId="0" applyFont="1" applyBorder="1" applyAlignment="1">
      <alignment horizontal="left" vertical="top" wrapText="1"/>
    </xf>
    <xf numFmtId="0" fontId="2" fillId="0" borderId="32" xfId="0" applyFont="1" applyBorder="1" applyAlignment="1">
      <alignment horizontal="left" vertical="top" wrapText="1"/>
    </xf>
    <xf numFmtId="0" fontId="2" fillId="0" borderId="0" xfId="0" applyFont="1" applyAlignment="1">
      <alignment horizontal="left" vertical="top" wrapText="1"/>
    </xf>
    <xf numFmtId="0" fontId="2" fillId="0" borderId="33" xfId="0" applyFont="1" applyBorder="1" applyAlignment="1">
      <alignment horizontal="left" vertical="top" wrapText="1"/>
    </xf>
    <xf numFmtId="0" fontId="2" fillId="0" borderId="18" xfId="0" applyFont="1" applyBorder="1" applyAlignment="1">
      <alignment horizontal="left" vertical="top" wrapText="1"/>
    </xf>
    <xf numFmtId="0" fontId="2" fillId="0" borderId="16" xfId="0" applyFont="1" applyBorder="1" applyAlignment="1">
      <alignment horizontal="left" vertical="top" wrapText="1"/>
    </xf>
    <xf numFmtId="0" fontId="2" fillId="0" borderId="19" xfId="0" applyFont="1" applyBorder="1" applyAlignment="1">
      <alignment horizontal="left" vertical="top" wrapText="1"/>
    </xf>
    <xf numFmtId="0" fontId="2" fillId="0" borderId="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19" xfId="0" applyFont="1" applyBorder="1" applyAlignment="1">
      <alignment horizontal="center" vertical="center" wrapText="1"/>
    </xf>
    <xf numFmtId="10" fontId="2" fillId="0" borderId="36" xfId="0" applyNumberFormat="1" applyFont="1" applyBorder="1" applyAlignment="1">
      <alignment horizontal="center" vertical="top" wrapText="1"/>
    </xf>
    <xf numFmtId="0" fontId="2" fillId="0" borderId="37" xfId="0" applyFont="1" applyBorder="1" applyAlignment="1">
      <alignment horizontal="center" vertical="top" wrapText="1"/>
    </xf>
    <xf numFmtId="0" fontId="2" fillId="0" borderId="1" xfId="0" applyFont="1" applyFill="1" applyBorder="1" applyAlignment="1">
      <alignment horizontal="center" vertical="top" wrapText="1"/>
    </xf>
    <xf numFmtId="2" fontId="2" fillId="0" borderId="11" xfId="0" applyNumberFormat="1" applyFont="1" applyFill="1" applyBorder="1" applyAlignment="1">
      <alignment horizontal="left" vertical="top" wrapText="1"/>
    </xf>
    <xf numFmtId="2" fontId="2" fillId="0" borderId="13" xfId="0" applyNumberFormat="1" applyFont="1" applyFill="1" applyBorder="1" applyAlignment="1">
      <alignment horizontal="left" vertical="top" wrapText="1"/>
    </xf>
    <xf numFmtId="2" fontId="2" fillId="0" borderId="6" xfId="0" applyNumberFormat="1" applyFont="1" applyFill="1" applyBorder="1" applyAlignment="1">
      <alignment horizontal="left" vertical="top" wrapText="1"/>
    </xf>
  </cellXfs>
  <cellStyles count="5">
    <cellStyle name="Comma" xfId="1" builtinId="3"/>
    <cellStyle name="Comma 2" xfId="3" xr:uid="{A8D75600-1CAF-44F3-B2EC-1F249BF29F74}"/>
    <cellStyle name="Comma 2 2 4" xfId="4" xr:uid="{83FD5A16-DB24-4E47-A1F1-0B949D8C7269}"/>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15"/>
  <sheetViews>
    <sheetView view="pageBreakPreview" topLeftCell="A12" zoomScale="71" zoomScaleNormal="77" zoomScaleSheetLayoutView="71" workbookViewId="0">
      <selection activeCell="C56" sqref="C56:E56"/>
    </sheetView>
  </sheetViews>
  <sheetFormatPr defaultColWidth="8.6640625" defaultRowHeight="21" x14ac:dyDescent="0.3"/>
  <cols>
    <col min="1" max="1" width="8.6640625" style="1"/>
    <col min="2" max="2" width="46.33203125" style="1" customWidth="1"/>
    <col min="3" max="3" width="72.5546875" style="1" customWidth="1"/>
    <col min="4" max="4" width="41.88671875" style="1" customWidth="1"/>
    <col min="5" max="5" width="22.33203125" style="1" customWidth="1"/>
    <col min="6" max="6" width="19.6640625" style="1" customWidth="1"/>
    <col min="7" max="7" width="22.33203125" style="1" customWidth="1"/>
    <col min="8" max="8" width="13" style="1" bestFit="1" customWidth="1"/>
    <col min="9" max="9" width="12.88671875" style="1" bestFit="1" customWidth="1"/>
    <col min="10" max="10" width="13" style="1" bestFit="1" customWidth="1"/>
    <col min="11" max="11" width="12.88671875" style="1" bestFit="1" customWidth="1"/>
    <col min="12" max="13" width="13" style="1" bestFit="1" customWidth="1"/>
    <col min="14" max="14" width="14.44140625" style="1" customWidth="1"/>
    <col min="15" max="16384" width="8.6640625" style="1"/>
  </cols>
  <sheetData>
    <row r="1" spans="1:5" x14ac:dyDescent="0.3">
      <c r="A1" s="325" t="s">
        <v>0</v>
      </c>
      <c r="B1" s="325"/>
      <c r="D1" s="2"/>
    </row>
    <row r="3" spans="1:5" ht="40.799999999999997" x14ac:dyDescent="0.3">
      <c r="A3" s="3" t="s">
        <v>1</v>
      </c>
      <c r="B3" s="4" t="s">
        <v>2</v>
      </c>
      <c r="C3" s="5" t="s">
        <v>100</v>
      </c>
    </row>
    <row r="4" spans="1:5" x14ac:dyDescent="0.3">
      <c r="D4" s="6"/>
    </row>
    <row r="5" spans="1:5" x14ac:dyDescent="0.3">
      <c r="A5" s="7">
        <v>1</v>
      </c>
      <c r="B5" s="8" t="s">
        <v>3</v>
      </c>
      <c r="C5" s="247" t="s">
        <v>101</v>
      </c>
      <c r="D5" s="248"/>
      <c r="E5" s="249"/>
    </row>
    <row r="6" spans="1:5" x14ac:dyDescent="0.3">
      <c r="A6" s="9"/>
      <c r="B6" s="326"/>
      <c r="C6" s="326"/>
      <c r="D6" s="326"/>
      <c r="E6" s="10"/>
    </row>
    <row r="7" spans="1:5" x14ac:dyDescent="0.3">
      <c r="A7" s="9"/>
      <c r="B7" s="11"/>
      <c r="D7" s="6"/>
    </row>
    <row r="8" spans="1:5" x14ac:dyDescent="0.3">
      <c r="A8" s="9">
        <v>2</v>
      </c>
      <c r="B8" s="8" t="s">
        <v>5</v>
      </c>
      <c r="C8" s="12" t="s">
        <v>104</v>
      </c>
      <c r="D8" s="6"/>
    </row>
    <row r="9" spans="1:5" x14ac:dyDescent="0.3">
      <c r="A9" s="9"/>
      <c r="B9" s="322"/>
      <c r="C9" s="323"/>
      <c r="D9" s="324"/>
    </row>
    <row r="10" spans="1:5" x14ac:dyDescent="0.3">
      <c r="A10" s="9"/>
      <c r="B10" s="11"/>
      <c r="D10" s="6"/>
    </row>
    <row r="11" spans="1:5" ht="40.799999999999997" x14ac:dyDescent="0.3">
      <c r="A11" s="9">
        <v>3</v>
      </c>
      <c r="B11" s="8" t="s">
        <v>6</v>
      </c>
      <c r="C11" s="247" t="s">
        <v>102</v>
      </c>
      <c r="D11" s="248"/>
      <c r="E11" s="249"/>
    </row>
    <row r="12" spans="1:5" x14ac:dyDescent="0.3">
      <c r="A12" s="9"/>
      <c r="B12" s="326"/>
      <c r="C12" s="326"/>
      <c r="D12" s="326"/>
      <c r="E12" s="10"/>
    </row>
    <row r="13" spans="1:5" x14ac:dyDescent="0.3">
      <c r="A13" s="9"/>
      <c r="B13" s="11"/>
      <c r="D13" s="6"/>
    </row>
    <row r="14" spans="1:5" ht="40.799999999999997" x14ac:dyDescent="0.3">
      <c r="A14" s="9">
        <v>4</v>
      </c>
      <c r="B14" s="4" t="s">
        <v>7</v>
      </c>
      <c r="C14" s="5" t="s">
        <v>103</v>
      </c>
      <c r="D14" s="6"/>
    </row>
    <row r="15" spans="1:5" x14ac:dyDescent="0.3">
      <c r="A15" s="9"/>
      <c r="B15" s="327" t="s">
        <v>8</v>
      </c>
      <c r="C15" s="328"/>
      <c r="D15" s="6"/>
    </row>
    <row r="16" spans="1:5" x14ac:dyDescent="0.3">
      <c r="A16" s="9"/>
      <c r="D16" s="6"/>
    </row>
    <row r="17" spans="1:14" ht="46.5" customHeight="1" x14ac:dyDescent="0.3">
      <c r="A17" s="9">
        <v>5</v>
      </c>
      <c r="B17" s="329" t="s">
        <v>9</v>
      </c>
      <c r="C17" s="330"/>
      <c r="D17" s="330"/>
      <c r="E17" s="330"/>
      <c r="F17" s="11"/>
      <c r="G17" s="11"/>
      <c r="H17" s="11"/>
      <c r="I17" s="11"/>
      <c r="J17" s="13"/>
      <c r="K17" s="13"/>
      <c r="L17" s="13"/>
      <c r="M17" s="13"/>
      <c r="N17" s="13"/>
    </row>
    <row r="18" spans="1:14" x14ac:dyDescent="0.3">
      <c r="A18" s="9"/>
      <c r="B18" s="14" t="s">
        <v>10</v>
      </c>
      <c r="C18" s="331" t="s">
        <v>11</v>
      </c>
      <c r="D18" s="331"/>
      <c r="E18" s="331"/>
      <c r="F18" s="15"/>
      <c r="G18" s="13"/>
      <c r="H18" s="13"/>
      <c r="I18" s="13"/>
      <c r="J18" s="13"/>
      <c r="K18" s="13"/>
      <c r="L18" s="13"/>
      <c r="M18" s="13"/>
      <c r="N18" s="13"/>
    </row>
    <row r="19" spans="1:14" ht="61.2" x14ac:dyDescent="0.3">
      <c r="A19" s="9"/>
      <c r="B19" s="14" t="s">
        <v>153</v>
      </c>
      <c r="C19" s="332" t="s">
        <v>11</v>
      </c>
      <c r="D19" s="333"/>
      <c r="E19" s="334"/>
      <c r="F19" s="15"/>
      <c r="G19" s="13"/>
      <c r="I19" s="13"/>
      <c r="J19" s="13"/>
      <c r="K19" s="13"/>
      <c r="L19" s="13"/>
      <c r="M19" s="13"/>
      <c r="N19" s="13"/>
    </row>
    <row r="20" spans="1:14" x14ac:dyDescent="0.3">
      <c r="A20" s="9"/>
      <c r="B20" s="14" t="s">
        <v>12</v>
      </c>
      <c r="C20" s="332" t="s">
        <v>11</v>
      </c>
      <c r="D20" s="333"/>
      <c r="E20" s="334"/>
      <c r="F20" s="15"/>
      <c r="G20" s="13"/>
      <c r="H20" s="13"/>
      <c r="I20" s="13"/>
      <c r="J20" s="13"/>
      <c r="K20" s="13"/>
      <c r="L20" s="13"/>
      <c r="M20" s="13"/>
      <c r="N20" s="13"/>
    </row>
    <row r="21" spans="1:14" x14ac:dyDescent="0.3">
      <c r="A21" s="9"/>
      <c r="B21" s="14" t="s">
        <v>13</v>
      </c>
      <c r="C21" s="332" t="s">
        <v>11</v>
      </c>
      <c r="D21" s="333"/>
      <c r="E21" s="334"/>
      <c r="F21" s="15"/>
      <c r="G21" s="13"/>
      <c r="H21" s="13"/>
      <c r="I21" s="13"/>
      <c r="J21" s="13"/>
      <c r="K21" s="13"/>
      <c r="L21" s="13"/>
      <c r="M21" s="13"/>
      <c r="N21" s="13"/>
    </row>
    <row r="22" spans="1:14" x14ac:dyDescent="0.3">
      <c r="A22" s="9"/>
      <c r="B22" s="16" t="s">
        <v>14</v>
      </c>
      <c r="C22" s="332" t="s">
        <v>11</v>
      </c>
      <c r="D22" s="333"/>
      <c r="E22" s="334"/>
      <c r="F22" s="15"/>
      <c r="G22" s="13"/>
      <c r="H22" s="13"/>
      <c r="I22" s="13"/>
      <c r="J22" s="13"/>
      <c r="K22" s="13"/>
      <c r="L22" s="13"/>
      <c r="M22" s="13"/>
      <c r="N22" s="13"/>
    </row>
    <row r="23" spans="1:14" x14ac:dyDescent="0.3">
      <c r="A23" s="9"/>
      <c r="B23" s="326" t="s">
        <v>126</v>
      </c>
      <c r="C23" s="326"/>
      <c r="D23" s="326"/>
      <c r="E23" s="326"/>
      <c r="F23" s="15"/>
      <c r="G23" s="13"/>
      <c r="H23" s="13"/>
      <c r="I23" s="13"/>
      <c r="J23" s="13"/>
      <c r="K23" s="13"/>
      <c r="L23" s="13"/>
      <c r="M23" s="13"/>
      <c r="N23" s="13"/>
    </row>
    <row r="24" spans="1:14" x14ac:dyDescent="0.3">
      <c r="A24" s="9"/>
      <c r="C24" s="13"/>
      <c r="D24" s="13"/>
      <c r="E24" s="13"/>
      <c r="F24" s="15"/>
      <c r="G24" s="13"/>
      <c r="H24" s="13"/>
      <c r="I24" s="13"/>
      <c r="J24" s="13"/>
      <c r="K24" s="13"/>
      <c r="L24" s="13"/>
      <c r="M24" s="13"/>
      <c r="N24" s="13"/>
    </row>
    <row r="25" spans="1:14" x14ac:dyDescent="0.3">
      <c r="A25" s="9"/>
      <c r="B25" s="15"/>
      <c r="C25" s="15"/>
      <c r="D25" s="15"/>
      <c r="E25" s="15"/>
      <c r="F25" s="15"/>
      <c r="G25" s="13"/>
      <c r="H25" s="13"/>
      <c r="I25" s="13"/>
      <c r="J25" s="13"/>
      <c r="K25" s="13"/>
      <c r="L25" s="13"/>
      <c r="M25" s="13"/>
      <c r="N25" s="13"/>
    </row>
    <row r="26" spans="1:14" ht="46.95" customHeight="1" x14ac:dyDescent="0.3">
      <c r="A26" s="9">
        <v>6</v>
      </c>
      <c r="B26" s="329" t="s">
        <v>16</v>
      </c>
      <c r="C26" s="329"/>
      <c r="D26" s="329"/>
      <c r="E26" s="329"/>
      <c r="F26" s="11"/>
      <c r="G26" s="11"/>
      <c r="H26" s="13"/>
      <c r="I26" s="11"/>
      <c r="J26" s="11"/>
    </row>
    <row r="27" spans="1:14" x14ac:dyDescent="0.3">
      <c r="A27" s="9"/>
      <c r="B27" s="340" t="s">
        <v>17</v>
      </c>
      <c r="C27" s="341"/>
      <c r="D27" s="341"/>
      <c r="E27" s="342"/>
      <c r="F27" s="15"/>
    </row>
    <row r="28" spans="1:14" ht="40.799999999999997" x14ac:dyDescent="0.3">
      <c r="A28" s="9"/>
      <c r="B28" s="17" t="s">
        <v>18</v>
      </c>
      <c r="C28" s="18" t="s">
        <v>106</v>
      </c>
      <c r="D28" s="18" t="s">
        <v>107</v>
      </c>
      <c r="E28" s="18" t="s">
        <v>206</v>
      </c>
      <c r="F28" s="15"/>
    </row>
    <row r="29" spans="1:14" ht="22.5" customHeight="1" x14ac:dyDescent="0.3">
      <c r="A29" s="9"/>
      <c r="B29" s="19" t="s">
        <v>155</v>
      </c>
      <c r="C29" s="21">
        <v>9683.3799999999992</v>
      </c>
      <c r="D29" s="21">
        <v>11073.96</v>
      </c>
      <c r="E29" s="21">
        <v>7424.12</v>
      </c>
      <c r="F29" s="15"/>
    </row>
    <row r="30" spans="1:14" x14ac:dyDescent="0.3">
      <c r="A30" s="9"/>
      <c r="B30" s="19" t="s">
        <v>23</v>
      </c>
      <c r="C30" s="21">
        <v>800.25</v>
      </c>
      <c r="D30" s="21">
        <v>811.04</v>
      </c>
      <c r="E30" s="21">
        <v>500.49</v>
      </c>
      <c r="F30" s="15"/>
    </row>
    <row r="31" spans="1:14" x14ac:dyDescent="0.3">
      <c r="A31" s="9"/>
      <c r="B31" s="19" t="s">
        <v>24</v>
      </c>
      <c r="C31" s="21">
        <v>500</v>
      </c>
      <c r="D31" s="21">
        <v>1000</v>
      </c>
      <c r="E31" s="21">
        <v>1500</v>
      </c>
      <c r="F31" s="15"/>
    </row>
    <row r="32" spans="1:14" ht="42" x14ac:dyDescent="0.3">
      <c r="A32" s="9"/>
      <c r="B32" s="19" t="s">
        <v>25</v>
      </c>
      <c r="C32" s="21">
        <v>2767.83</v>
      </c>
      <c r="D32" s="21">
        <v>3084.4</v>
      </c>
      <c r="E32" s="21">
        <v>3506.34</v>
      </c>
      <c r="F32" s="15"/>
    </row>
    <row r="33" spans="1:10" x14ac:dyDescent="0.3">
      <c r="A33" s="9"/>
      <c r="B33" s="327" t="s">
        <v>125</v>
      </c>
      <c r="C33" s="338"/>
      <c r="D33" s="338"/>
      <c r="E33" s="339"/>
      <c r="F33" s="15"/>
    </row>
    <row r="34" spans="1:10" x14ac:dyDescent="0.3">
      <c r="A34" s="9"/>
      <c r="B34" s="13"/>
      <c r="C34" s="15"/>
      <c r="D34" s="15"/>
      <c r="E34" s="15"/>
      <c r="F34" s="15"/>
    </row>
    <row r="35" spans="1:10" ht="49.5" customHeight="1" x14ac:dyDescent="0.3">
      <c r="A35" s="9">
        <v>7</v>
      </c>
      <c r="B35" s="329" t="s">
        <v>26</v>
      </c>
      <c r="C35" s="329"/>
      <c r="D35" s="329"/>
      <c r="E35" s="329"/>
      <c r="F35" s="11"/>
      <c r="G35" s="11"/>
      <c r="H35" s="11"/>
      <c r="I35" s="11"/>
      <c r="J35" s="11"/>
    </row>
    <row r="36" spans="1:10" ht="40.799999999999997" x14ac:dyDescent="0.3">
      <c r="A36" s="9"/>
      <c r="B36" s="17" t="s">
        <v>124</v>
      </c>
      <c r="C36" s="21" t="s">
        <v>75</v>
      </c>
      <c r="D36" s="13"/>
      <c r="E36" s="13"/>
      <c r="F36" s="13"/>
    </row>
    <row r="37" spans="1:10" x14ac:dyDescent="0.3">
      <c r="A37" s="9"/>
      <c r="B37" s="17" t="s">
        <v>28</v>
      </c>
      <c r="C37" s="21" t="s">
        <v>75</v>
      </c>
      <c r="D37" s="13"/>
      <c r="E37" s="13"/>
      <c r="F37" s="13"/>
    </row>
    <row r="38" spans="1:10" x14ac:dyDescent="0.3">
      <c r="A38" s="9"/>
      <c r="B38" s="20" t="s">
        <v>29</v>
      </c>
      <c r="C38" s="21" t="s">
        <v>75</v>
      </c>
      <c r="D38" s="13"/>
      <c r="E38" s="13"/>
      <c r="F38" s="13"/>
    </row>
    <row r="39" spans="1:10" x14ac:dyDescent="0.3">
      <c r="A39" s="9"/>
      <c r="B39" s="326" t="s">
        <v>192</v>
      </c>
      <c r="C39" s="326"/>
      <c r="D39" s="13"/>
      <c r="E39" s="13"/>
      <c r="F39" s="13"/>
    </row>
    <row r="40" spans="1:10" x14ac:dyDescent="0.3">
      <c r="A40" s="9"/>
      <c r="C40" s="13"/>
      <c r="D40" s="13"/>
      <c r="E40" s="13"/>
      <c r="F40" s="13"/>
    </row>
    <row r="41" spans="1:10" x14ac:dyDescent="0.3">
      <c r="A41" s="9"/>
      <c r="B41" s="15"/>
      <c r="C41" s="13"/>
      <c r="D41" s="13"/>
      <c r="E41" s="13"/>
      <c r="F41" s="13"/>
    </row>
    <row r="42" spans="1:10" ht="55.95" customHeight="1" x14ac:dyDescent="0.3">
      <c r="A42" s="9">
        <v>8</v>
      </c>
      <c r="B42" s="329" t="s">
        <v>30</v>
      </c>
      <c r="C42" s="329"/>
      <c r="D42" s="329"/>
      <c r="E42" s="329"/>
      <c r="F42" s="11"/>
      <c r="G42" s="11"/>
      <c r="H42" s="11"/>
      <c r="I42" s="11"/>
      <c r="J42" s="11"/>
    </row>
    <row r="43" spans="1:10" ht="42.75" customHeight="1" x14ac:dyDescent="0.3">
      <c r="A43" s="9"/>
      <c r="B43" s="17" t="s">
        <v>207</v>
      </c>
      <c r="C43" s="335" t="s">
        <v>76</v>
      </c>
      <c r="D43" s="336"/>
      <c r="E43" s="337"/>
      <c r="F43" s="13"/>
    </row>
    <row r="44" spans="1:10" ht="27.75" customHeight="1" x14ac:dyDescent="0.3">
      <c r="A44" s="9"/>
      <c r="B44" s="17" t="s">
        <v>28</v>
      </c>
      <c r="C44" s="335" t="s">
        <v>76</v>
      </c>
      <c r="D44" s="336"/>
      <c r="E44" s="337"/>
      <c r="F44" s="13"/>
    </row>
    <row r="45" spans="1:10" ht="64.2" customHeight="1" x14ac:dyDescent="0.3">
      <c r="A45" s="9"/>
      <c r="B45" s="17" t="s">
        <v>29</v>
      </c>
      <c r="C45" s="335" t="s">
        <v>705</v>
      </c>
      <c r="D45" s="336"/>
      <c r="E45" s="337"/>
      <c r="F45" s="13"/>
    </row>
    <row r="46" spans="1:10" x14ac:dyDescent="0.3">
      <c r="A46" s="9"/>
      <c r="B46" s="327" t="s">
        <v>714</v>
      </c>
      <c r="C46" s="338"/>
      <c r="D46" s="338"/>
      <c r="E46" s="339"/>
      <c r="F46" s="13"/>
    </row>
    <row r="47" spans="1:10" x14ac:dyDescent="0.3">
      <c r="A47" s="3"/>
      <c r="D47" s="22"/>
      <c r="E47" s="13"/>
    </row>
    <row r="48" spans="1:10" ht="39.75" customHeight="1" x14ac:dyDescent="0.3">
      <c r="A48" s="211">
        <v>9</v>
      </c>
      <c r="B48" s="343" t="s">
        <v>32</v>
      </c>
      <c r="C48" s="329"/>
      <c r="D48" s="329"/>
      <c r="E48" s="329"/>
      <c r="F48" s="23"/>
      <c r="G48" s="11"/>
      <c r="H48" s="11"/>
      <c r="I48" s="11"/>
    </row>
    <row r="49" spans="1:14" ht="81.599999999999994" x14ac:dyDescent="0.3">
      <c r="A49" s="211"/>
      <c r="B49" s="24" t="s">
        <v>33</v>
      </c>
      <c r="C49" s="25" t="s">
        <v>34</v>
      </c>
      <c r="D49" s="26" t="s">
        <v>65</v>
      </c>
      <c r="E49" s="25" t="s">
        <v>35</v>
      </c>
    </row>
    <row r="50" spans="1:14" ht="154.5" customHeight="1" x14ac:dyDescent="0.3">
      <c r="A50" s="211"/>
      <c r="B50" s="189" t="s">
        <v>127</v>
      </c>
      <c r="C50" s="27" t="s">
        <v>128</v>
      </c>
      <c r="D50" s="27" t="s">
        <v>128</v>
      </c>
      <c r="E50" s="27" t="s">
        <v>50</v>
      </c>
    </row>
    <row r="51" spans="1:14" x14ac:dyDescent="0.4">
      <c r="A51" s="211"/>
      <c r="B51" s="291" t="s">
        <v>40</v>
      </c>
      <c r="C51" s="351"/>
      <c r="D51" s="351"/>
      <c r="E51" s="351"/>
      <c r="F51" s="15"/>
      <c r="G51" s="15"/>
      <c r="H51" s="15"/>
      <c r="I51" s="15"/>
    </row>
    <row r="52" spans="1:14" x14ac:dyDescent="0.4">
      <c r="A52" s="9"/>
      <c r="B52" s="187" t="s">
        <v>130</v>
      </c>
      <c r="C52" s="184"/>
      <c r="D52" s="184"/>
      <c r="E52" s="184"/>
      <c r="F52" s="15"/>
      <c r="G52" s="15"/>
      <c r="H52" s="15"/>
      <c r="I52" s="15"/>
    </row>
    <row r="53" spans="1:14" ht="42.75" customHeight="1" x14ac:dyDescent="0.3">
      <c r="A53" s="211">
        <v>10</v>
      </c>
      <c r="B53" s="343" t="s">
        <v>73</v>
      </c>
      <c r="C53" s="329"/>
      <c r="D53" s="329"/>
      <c r="E53" s="329"/>
      <c r="F53" s="15"/>
      <c r="G53" s="15"/>
      <c r="H53" s="15"/>
    </row>
    <row r="54" spans="1:14" ht="14.25" customHeight="1" x14ac:dyDescent="0.3">
      <c r="A54" s="211"/>
      <c r="B54" s="275" t="s">
        <v>36</v>
      </c>
      <c r="C54" s="345" t="s">
        <v>129</v>
      </c>
      <c r="D54" s="346"/>
      <c r="E54" s="347"/>
      <c r="K54" s="2"/>
    </row>
    <row r="55" spans="1:14" ht="77.25" customHeight="1" x14ac:dyDescent="0.3">
      <c r="A55" s="211"/>
      <c r="B55" s="344"/>
      <c r="C55" s="348"/>
      <c r="D55" s="349"/>
      <c r="E55" s="350"/>
      <c r="K55" s="2"/>
    </row>
    <row r="56" spans="1:14" ht="93.75" customHeight="1" x14ac:dyDescent="0.3">
      <c r="A56" s="211"/>
      <c r="B56" s="29" t="s">
        <v>37</v>
      </c>
      <c r="C56" s="345" t="s">
        <v>129</v>
      </c>
      <c r="D56" s="346"/>
      <c r="E56" s="347"/>
    </row>
    <row r="57" spans="1:14" x14ac:dyDescent="0.3">
      <c r="A57" s="211"/>
      <c r="B57" s="29" t="s">
        <v>38</v>
      </c>
      <c r="C57" s="353" t="s">
        <v>90</v>
      </c>
      <c r="D57" s="353"/>
      <c r="E57" s="353"/>
      <c r="K57" s="30"/>
    </row>
    <row r="58" spans="1:14" s="32" customFormat="1" ht="51.75" customHeight="1" x14ac:dyDescent="0.4">
      <c r="A58" s="111" t="s">
        <v>39</v>
      </c>
      <c r="B58" s="354" t="s">
        <v>754</v>
      </c>
      <c r="C58" s="355"/>
      <c r="D58" s="355"/>
      <c r="E58" s="355"/>
    </row>
    <row r="59" spans="1:14" x14ac:dyDescent="0.3">
      <c r="A59" s="33"/>
      <c r="B59" s="34"/>
      <c r="C59" s="35"/>
      <c r="D59" s="35"/>
      <c r="E59" s="35"/>
      <c r="F59" s="35"/>
    </row>
    <row r="60" spans="1:14" x14ac:dyDescent="0.3">
      <c r="A60" s="9">
        <v>11</v>
      </c>
      <c r="B60" s="4" t="s">
        <v>41</v>
      </c>
      <c r="C60" s="356" t="s">
        <v>89</v>
      </c>
      <c r="D60" s="356"/>
      <c r="E60" s="356"/>
      <c r="F60" s="11"/>
      <c r="G60" s="11"/>
      <c r="H60" s="36"/>
      <c r="I60" s="11"/>
      <c r="J60" s="11"/>
    </row>
    <row r="61" spans="1:14" x14ac:dyDescent="0.3">
      <c r="A61" s="9"/>
      <c r="B61" s="15"/>
      <c r="C61" s="15"/>
      <c r="D61" s="15"/>
      <c r="E61" s="15"/>
      <c r="F61" s="15"/>
      <c r="G61" s="15"/>
      <c r="H61" s="37"/>
      <c r="I61" s="37"/>
      <c r="J61" s="15"/>
    </row>
    <row r="62" spans="1:14" x14ac:dyDescent="0.3">
      <c r="A62" s="9"/>
      <c r="B62" s="15"/>
      <c r="C62" s="15"/>
      <c r="D62" s="15"/>
      <c r="E62" s="15"/>
      <c r="F62" s="15"/>
      <c r="G62" s="15"/>
      <c r="H62" s="37"/>
      <c r="I62" s="37"/>
      <c r="J62" s="15"/>
    </row>
    <row r="63" spans="1:14" s="42" customFormat="1" x14ac:dyDescent="0.3">
      <c r="A63" s="38">
        <v>12</v>
      </c>
      <c r="B63" s="39" t="s">
        <v>42</v>
      </c>
      <c r="C63" s="360"/>
      <c r="D63" s="360"/>
      <c r="E63" s="360"/>
      <c r="F63" s="40"/>
      <c r="G63" s="41"/>
      <c r="H63" s="41"/>
      <c r="I63" s="41"/>
      <c r="J63" s="41"/>
      <c r="K63" s="41"/>
      <c r="L63" s="41"/>
      <c r="M63" s="41"/>
      <c r="N63" s="41"/>
    </row>
    <row r="64" spans="1:14" x14ac:dyDescent="0.3">
      <c r="A64" s="9"/>
      <c r="B64" s="11"/>
      <c r="C64" s="11"/>
      <c r="D64" s="11"/>
      <c r="E64" s="36"/>
      <c r="F64" s="36"/>
      <c r="G64" s="36"/>
      <c r="H64" s="11"/>
      <c r="I64" s="11"/>
      <c r="J64" s="11"/>
      <c r="K64" s="11"/>
      <c r="L64" s="11"/>
      <c r="M64" s="11"/>
      <c r="N64" s="11"/>
    </row>
    <row r="65" spans="1:14" x14ac:dyDescent="0.3">
      <c r="A65" s="9"/>
      <c r="B65" s="17" t="s">
        <v>43</v>
      </c>
      <c r="C65" s="19" t="s">
        <v>111</v>
      </c>
      <c r="D65" s="15"/>
      <c r="E65" s="15"/>
      <c r="F65" s="37"/>
      <c r="G65" s="37"/>
      <c r="H65" s="15"/>
      <c r="I65" s="15"/>
      <c r="J65" s="15"/>
      <c r="K65" s="15"/>
      <c r="L65" s="15"/>
      <c r="M65" s="15"/>
      <c r="N65" s="15"/>
    </row>
    <row r="66" spans="1:14" x14ac:dyDescent="0.3">
      <c r="A66" s="9"/>
      <c r="B66" s="15"/>
      <c r="C66" s="15"/>
      <c r="D66" s="15"/>
      <c r="E66" s="15"/>
      <c r="F66" s="15"/>
      <c r="G66" s="15"/>
      <c r="H66" s="15"/>
      <c r="I66" s="15"/>
      <c r="J66" s="15"/>
      <c r="K66" s="15"/>
      <c r="L66" s="15"/>
      <c r="M66" s="15"/>
      <c r="N66" s="15"/>
    </row>
    <row r="67" spans="1:14" ht="80.25" customHeight="1" x14ac:dyDescent="0.3">
      <c r="A67" s="9"/>
      <c r="B67" s="329" t="s">
        <v>44</v>
      </c>
      <c r="C67" s="330" t="s">
        <v>114</v>
      </c>
      <c r="D67" s="330" t="s">
        <v>68</v>
      </c>
      <c r="E67" s="358" t="s">
        <v>45</v>
      </c>
      <c r="F67" s="292" t="s">
        <v>98</v>
      </c>
      <c r="G67" s="293"/>
      <c r="H67" s="294"/>
      <c r="I67" s="292" t="s">
        <v>122</v>
      </c>
      <c r="J67" s="293"/>
      <c r="K67" s="294"/>
      <c r="L67" s="363" t="s">
        <v>123</v>
      </c>
      <c r="M67" s="363"/>
      <c r="N67" s="363"/>
    </row>
    <row r="68" spans="1:14" ht="102" customHeight="1" x14ac:dyDescent="0.3">
      <c r="A68" s="3"/>
      <c r="B68" s="329"/>
      <c r="C68" s="357"/>
      <c r="D68" s="357"/>
      <c r="E68" s="359"/>
      <c r="F68" s="17" t="s">
        <v>46</v>
      </c>
      <c r="G68" s="17" t="s">
        <v>47</v>
      </c>
      <c r="H68" s="17" t="s">
        <v>48</v>
      </c>
      <c r="I68" s="17" t="s">
        <v>49</v>
      </c>
      <c r="J68" s="17" t="s">
        <v>47</v>
      </c>
      <c r="K68" s="17" t="s">
        <v>48</v>
      </c>
      <c r="L68" s="17" t="s">
        <v>49</v>
      </c>
      <c r="M68" s="17" t="s">
        <v>47</v>
      </c>
      <c r="N68" s="17" t="s">
        <v>48</v>
      </c>
    </row>
    <row r="69" spans="1:14" ht="21" customHeight="1" x14ac:dyDescent="0.3">
      <c r="A69" s="3"/>
      <c r="B69" s="17" t="s">
        <v>112</v>
      </c>
      <c r="C69" s="43">
        <v>124.8</v>
      </c>
      <c r="D69" s="44">
        <v>121.5</v>
      </c>
      <c r="E69" s="44">
        <v>96.8</v>
      </c>
      <c r="F69" s="44">
        <v>224.95</v>
      </c>
      <c r="G69" s="44">
        <v>252</v>
      </c>
      <c r="H69" s="44">
        <v>81.8</v>
      </c>
      <c r="I69" s="44">
        <v>96.6</v>
      </c>
      <c r="J69" s="44">
        <v>310</v>
      </c>
      <c r="K69" s="44">
        <v>89</v>
      </c>
      <c r="L69" s="44">
        <v>167</v>
      </c>
      <c r="M69" s="44">
        <v>183.9</v>
      </c>
      <c r="N69" s="44">
        <v>39.1</v>
      </c>
    </row>
    <row r="70" spans="1:14" ht="40.799999999999997" x14ac:dyDescent="0.3">
      <c r="A70" s="3"/>
      <c r="B70" s="20" t="s">
        <v>113</v>
      </c>
      <c r="C70" s="44">
        <v>58576.37</v>
      </c>
      <c r="D70" s="44">
        <v>54088.39</v>
      </c>
      <c r="E70" s="44">
        <v>54395.23</v>
      </c>
      <c r="F70" s="44">
        <v>58991.519999999997</v>
      </c>
      <c r="G70" s="44">
        <v>63583.07</v>
      </c>
      <c r="H70" s="44">
        <v>50921.22</v>
      </c>
      <c r="I70" s="44">
        <v>73651.350000000006</v>
      </c>
      <c r="J70" s="44">
        <v>74245.17</v>
      </c>
      <c r="K70" s="44">
        <v>58793.08</v>
      </c>
      <c r="L70" s="44">
        <v>77414.92</v>
      </c>
      <c r="M70" s="44">
        <v>85978.25</v>
      </c>
      <c r="N70" s="44">
        <v>70234.429999999993</v>
      </c>
    </row>
    <row r="71" spans="1:14" x14ac:dyDescent="0.3">
      <c r="A71" s="3"/>
      <c r="B71" s="364" t="s">
        <v>115</v>
      </c>
      <c r="C71" s="364"/>
      <c r="D71" s="364"/>
      <c r="E71" s="364"/>
      <c r="F71" s="364"/>
      <c r="G71" s="364"/>
      <c r="H71" s="364"/>
      <c r="I71" s="364"/>
      <c r="J71" s="364"/>
      <c r="K71" s="364"/>
      <c r="L71" s="364"/>
      <c r="M71" s="364"/>
      <c r="N71" s="364"/>
    </row>
    <row r="72" spans="1:14" ht="20.25" customHeight="1" x14ac:dyDescent="0.3">
      <c r="A72" s="3"/>
      <c r="B72" s="364" t="s">
        <v>116</v>
      </c>
      <c r="C72" s="364"/>
      <c r="D72" s="364"/>
      <c r="E72" s="364"/>
      <c r="F72" s="364"/>
      <c r="G72" s="45"/>
      <c r="H72" s="45"/>
      <c r="I72" s="45"/>
      <c r="J72" s="45"/>
      <c r="K72" s="45"/>
      <c r="L72" s="45"/>
      <c r="M72" s="45"/>
      <c r="N72" s="45"/>
    </row>
    <row r="73" spans="1:14" ht="41.4" customHeight="1" x14ac:dyDescent="0.3">
      <c r="A73" s="3"/>
      <c r="B73" s="364" t="s">
        <v>755</v>
      </c>
      <c r="C73" s="364"/>
      <c r="D73" s="364"/>
      <c r="E73" s="364"/>
      <c r="F73" s="364"/>
      <c r="G73" s="45"/>
      <c r="H73" s="45"/>
      <c r="I73" s="45"/>
      <c r="J73" s="45"/>
      <c r="K73" s="45"/>
      <c r="L73" s="45"/>
      <c r="M73" s="45"/>
      <c r="N73" s="45"/>
    </row>
    <row r="74" spans="1:14" x14ac:dyDescent="0.3">
      <c r="A74" s="3"/>
      <c r="B74" s="327" t="s">
        <v>71</v>
      </c>
      <c r="C74" s="338"/>
      <c r="D74" s="338"/>
      <c r="E74" s="338"/>
      <c r="F74" s="339"/>
      <c r="G74" s="45"/>
      <c r="H74" s="45"/>
      <c r="I74" s="45"/>
      <c r="J74" s="45"/>
      <c r="K74" s="45"/>
      <c r="L74" s="45"/>
      <c r="M74" s="45"/>
      <c r="N74" s="45"/>
    </row>
    <row r="75" spans="1:14" x14ac:dyDescent="0.3">
      <c r="A75" s="3"/>
      <c r="B75" s="46" t="s">
        <v>192</v>
      </c>
      <c r="C75" s="46"/>
      <c r="D75" s="46"/>
      <c r="E75" s="46"/>
      <c r="F75" s="46"/>
      <c r="G75" s="13"/>
      <c r="H75" s="13"/>
      <c r="I75" s="13"/>
      <c r="J75" s="13"/>
      <c r="K75" s="13"/>
      <c r="L75" s="13"/>
      <c r="M75" s="13"/>
      <c r="N75" s="13"/>
    </row>
    <row r="76" spans="1:14" ht="45.75" customHeight="1" x14ac:dyDescent="0.3">
      <c r="A76" s="9">
        <v>13</v>
      </c>
      <c r="B76" s="365" t="s">
        <v>51</v>
      </c>
      <c r="C76" s="366"/>
      <c r="D76" s="366"/>
      <c r="E76" s="366"/>
      <c r="F76" s="366"/>
      <c r="G76" s="343"/>
      <c r="H76" s="11"/>
      <c r="I76" s="11"/>
      <c r="J76" s="11"/>
      <c r="K76" s="11"/>
      <c r="L76" s="11"/>
      <c r="M76" s="11"/>
      <c r="N76" s="11"/>
    </row>
    <row r="77" spans="1:14" x14ac:dyDescent="0.3">
      <c r="A77" s="9"/>
      <c r="C77" s="15"/>
      <c r="D77" s="15"/>
      <c r="E77" s="15"/>
      <c r="F77" s="15"/>
      <c r="G77" s="15"/>
      <c r="H77" s="15"/>
      <c r="I77" s="15"/>
      <c r="J77" s="15"/>
      <c r="K77" s="15"/>
      <c r="L77" s="15"/>
      <c r="M77" s="15"/>
      <c r="N77" s="15"/>
    </row>
    <row r="78" spans="1:14" ht="108" customHeight="1" x14ac:dyDescent="0.3">
      <c r="A78" s="3"/>
      <c r="B78" s="47" t="s">
        <v>52</v>
      </c>
      <c r="C78" s="18" t="s">
        <v>53</v>
      </c>
      <c r="D78" s="18" t="s">
        <v>80</v>
      </c>
      <c r="E78" s="18" t="s">
        <v>117</v>
      </c>
      <c r="F78" s="18" t="s">
        <v>208</v>
      </c>
      <c r="G78" s="18" t="s">
        <v>209</v>
      </c>
      <c r="H78" s="13"/>
      <c r="I78" s="13"/>
      <c r="J78" s="13"/>
      <c r="K78" s="13"/>
      <c r="L78" s="13"/>
      <c r="M78" s="13"/>
      <c r="N78" s="13"/>
    </row>
    <row r="79" spans="1:14" ht="20.25" customHeight="1" x14ac:dyDescent="0.4">
      <c r="A79" s="3"/>
      <c r="B79" s="315" t="s">
        <v>120</v>
      </c>
      <c r="C79" s="4" t="s">
        <v>715</v>
      </c>
      <c r="D79" s="48">
        <v>9.98</v>
      </c>
      <c r="E79" s="48">
        <v>8.0299999999999994</v>
      </c>
      <c r="F79" s="48">
        <v>8.11</v>
      </c>
      <c r="G79" s="50">
        <v>6.14</v>
      </c>
      <c r="H79" s="49"/>
      <c r="I79" s="49"/>
      <c r="J79" s="49"/>
      <c r="K79" s="49"/>
      <c r="L79" s="49"/>
      <c r="M79" s="49"/>
      <c r="N79" s="49"/>
    </row>
    <row r="80" spans="1:14" ht="20.25" customHeight="1" x14ac:dyDescent="0.4">
      <c r="A80" s="3"/>
      <c r="B80" s="315"/>
      <c r="C80" s="4" t="s">
        <v>716</v>
      </c>
      <c r="D80" s="48"/>
      <c r="E80" s="48"/>
      <c r="F80" s="48"/>
      <c r="G80" s="50">
        <v>5.65</v>
      </c>
      <c r="H80" s="49"/>
      <c r="I80" s="49"/>
      <c r="J80" s="49"/>
      <c r="K80" s="49"/>
      <c r="L80" s="49"/>
      <c r="M80" s="49"/>
      <c r="N80" s="49"/>
    </row>
    <row r="81" spans="1:14" ht="21" customHeight="1" x14ac:dyDescent="0.3">
      <c r="A81" s="3"/>
      <c r="B81" s="315"/>
      <c r="C81" s="4" t="s">
        <v>57</v>
      </c>
      <c r="D81" s="50"/>
      <c r="E81" s="50"/>
      <c r="F81" s="50"/>
      <c r="G81" s="121"/>
      <c r="H81" s="49"/>
      <c r="I81" s="49"/>
      <c r="J81" s="49"/>
      <c r="K81" s="49"/>
      <c r="L81" s="49"/>
      <c r="M81" s="49"/>
      <c r="N81" s="49"/>
    </row>
    <row r="82" spans="1:14" ht="104.4" customHeight="1" x14ac:dyDescent="0.3">
      <c r="A82" s="3"/>
      <c r="B82" s="315"/>
      <c r="C82" s="317" t="s">
        <v>119</v>
      </c>
      <c r="D82" s="313" t="s">
        <v>121</v>
      </c>
      <c r="E82" s="313" t="s">
        <v>121</v>
      </c>
      <c r="F82" s="313" t="s">
        <v>121</v>
      </c>
      <c r="G82" s="313" t="s">
        <v>121</v>
      </c>
      <c r="H82" s="49"/>
      <c r="I82" s="49"/>
      <c r="J82" s="49"/>
      <c r="K82" s="49"/>
      <c r="L82" s="49"/>
      <c r="M82" s="49"/>
      <c r="N82" s="49"/>
    </row>
    <row r="83" spans="1:14" x14ac:dyDescent="0.3">
      <c r="A83" s="3"/>
      <c r="B83" s="315"/>
      <c r="C83" s="361"/>
      <c r="D83" s="352"/>
      <c r="E83" s="352"/>
      <c r="F83" s="352"/>
      <c r="G83" s="352"/>
      <c r="H83" s="49"/>
      <c r="I83" s="49"/>
      <c r="J83" s="49"/>
      <c r="K83" s="49"/>
      <c r="L83" s="49"/>
      <c r="M83" s="49"/>
      <c r="N83" s="49"/>
    </row>
    <row r="84" spans="1:14" ht="21" customHeight="1" x14ac:dyDescent="0.3">
      <c r="A84" s="3"/>
      <c r="B84" s="315"/>
      <c r="C84" s="361"/>
      <c r="D84" s="352"/>
      <c r="E84" s="352"/>
      <c r="F84" s="352"/>
      <c r="G84" s="352"/>
      <c r="H84" s="49"/>
      <c r="I84" s="49"/>
      <c r="J84" s="49"/>
      <c r="K84" s="49"/>
      <c r="L84" s="49"/>
      <c r="M84" s="49"/>
      <c r="N84" s="49"/>
    </row>
    <row r="85" spans="1:14" x14ac:dyDescent="0.3">
      <c r="A85" s="3"/>
      <c r="B85" s="315"/>
      <c r="C85" s="318"/>
      <c r="D85" s="314"/>
      <c r="E85" s="314"/>
      <c r="F85" s="314"/>
      <c r="G85" s="314"/>
      <c r="H85" s="49"/>
      <c r="I85" s="49"/>
      <c r="J85" s="49"/>
      <c r="K85" s="49"/>
      <c r="L85" s="49"/>
      <c r="M85" s="49"/>
      <c r="N85" s="49"/>
    </row>
    <row r="86" spans="1:14" ht="21" customHeight="1" x14ac:dyDescent="0.3">
      <c r="A86" s="3"/>
      <c r="B86" s="315"/>
      <c r="C86" s="4" t="s">
        <v>58</v>
      </c>
      <c r="D86" s="52" t="s">
        <v>50</v>
      </c>
      <c r="E86" s="52" t="s">
        <v>50</v>
      </c>
      <c r="F86" s="52" t="s">
        <v>50</v>
      </c>
      <c r="G86" s="52" t="s">
        <v>50</v>
      </c>
      <c r="H86" s="49"/>
      <c r="I86" s="49"/>
      <c r="J86" s="49"/>
      <c r="K86" s="49"/>
      <c r="L86" s="49"/>
      <c r="M86" s="49"/>
      <c r="N86" s="49"/>
    </row>
    <row r="87" spans="1:14" x14ac:dyDescent="0.4">
      <c r="A87" s="3"/>
      <c r="B87" s="315" t="s">
        <v>736</v>
      </c>
      <c r="C87" s="4" t="s">
        <v>118</v>
      </c>
      <c r="D87" s="53">
        <f>121/D79</f>
        <v>12.124248496993987</v>
      </c>
      <c r="E87" s="53">
        <f>224.95/E79</f>
        <v>28.013698630136986</v>
      </c>
      <c r="F87" s="53">
        <f>I69/F79</f>
        <v>11.911220715166461</v>
      </c>
      <c r="G87" s="50">
        <f>L69/G79</f>
        <v>27.198697068403909</v>
      </c>
      <c r="H87" s="49"/>
      <c r="I87" s="49"/>
      <c r="J87" s="49"/>
      <c r="K87" s="49"/>
      <c r="L87" s="49"/>
      <c r="M87" s="49"/>
      <c r="N87" s="49"/>
    </row>
    <row r="88" spans="1:14" ht="21" customHeight="1" x14ac:dyDescent="0.3">
      <c r="A88" s="3"/>
      <c r="B88" s="315"/>
      <c r="C88" s="4" t="s">
        <v>57</v>
      </c>
      <c r="D88" s="50"/>
      <c r="E88" s="50"/>
      <c r="F88" s="50"/>
      <c r="G88" s="121"/>
      <c r="H88" s="49"/>
      <c r="I88" s="49"/>
      <c r="J88" s="49"/>
      <c r="K88" s="49"/>
      <c r="L88" s="49"/>
      <c r="M88" s="49"/>
      <c r="N88" s="49"/>
    </row>
    <row r="89" spans="1:14" x14ac:dyDescent="0.3">
      <c r="A89" s="3"/>
      <c r="B89" s="315"/>
      <c r="C89" s="317" t="s">
        <v>119</v>
      </c>
      <c r="D89" s="313" t="s">
        <v>50</v>
      </c>
      <c r="E89" s="313" t="s">
        <v>121</v>
      </c>
      <c r="F89" s="313" t="s">
        <v>50</v>
      </c>
      <c r="G89" s="313" t="s">
        <v>50</v>
      </c>
      <c r="H89" s="49"/>
      <c r="I89" s="49"/>
      <c r="J89" s="49"/>
      <c r="K89" s="49"/>
      <c r="L89" s="49"/>
      <c r="M89" s="49"/>
      <c r="N89" s="49"/>
    </row>
    <row r="90" spans="1:14" ht="98.4" customHeight="1" x14ac:dyDescent="0.3">
      <c r="A90" s="3"/>
      <c r="B90" s="315"/>
      <c r="C90" s="318"/>
      <c r="D90" s="314"/>
      <c r="E90" s="314"/>
      <c r="F90" s="314"/>
      <c r="G90" s="314"/>
      <c r="H90" s="49"/>
      <c r="I90" s="49"/>
      <c r="J90" s="49"/>
      <c r="K90" s="49"/>
      <c r="L90" s="49"/>
      <c r="M90" s="49"/>
      <c r="N90" s="49"/>
    </row>
    <row r="91" spans="1:14" x14ac:dyDescent="0.3">
      <c r="A91" s="3"/>
      <c r="B91" s="315"/>
      <c r="C91" s="4" t="s">
        <v>58</v>
      </c>
      <c r="D91" s="52" t="s">
        <v>50</v>
      </c>
      <c r="E91" s="52" t="s">
        <v>50</v>
      </c>
      <c r="F91" s="52" t="s">
        <v>50</v>
      </c>
      <c r="G91" s="52" t="s">
        <v>50</v>
      </c>
      <c r="H91" s="49"/>
      <c r="I91" s="49"/>
      <c r="J91" s="49"/>
      <c r="K91" s="49"/>
      <c r="L91" s="49"/>
      <c r="M91" s="49"/>
      <c r="N91" s="49"/>
    </row>
    <row r="92" spans="1:14" ht="21" customHeight="1" x14ac:dyDescent="0.4">
      <c r="A92" s="3"/>
      <c r="B92" s="315" t="s">
        <v>60</v>
      </c>
      <c r="C92" s="4" t="s">
        <v>118</v>
      </c>
      <c r="D92" s="48">
        <v>72.52</v>
      </c>
      <c r="E92" s="53">
        <v>24</v>
      </c>
      <c r="F92" s="53">
        <v>19.86</v>
      </c>
      <c r="G92" s="50">
        <v>18.420000000000002</v>
      </c>
      <c r="H92" s="49"/>
      <c r="I92" s="49"/>
      <c r="J92" s="49"/>
      <c r="K92" s="49"/>
      <c r="L92" s="49"/>
      <c r="M92" s="49"/>
      <c r="N92" s="49"/>
    </row>
    <row r="93" spans="1:14" x14ac:dyDescent="0.3">
      <c r="A93" s="3"/>
      <c r="B93" s="315"/>
      <c r="C93" s="4" t="s">
        <v>57</v>
      </c>
      <c r="D93" s="50"/>
      <c r="E93" s="50"/>
      <c r="F93" s="50"/>
      <c r="G93" s="121"/>
      <c r="H93" s="49"/>
      <c r="I93" s="49"/>
      <c r="J93" s="49"/>
      <c r="K93" s="49"/>
      <c r="L93" s="49"/>
      <c r="M93" s="49"/>
      <c r="N93" s="49"/>
    </row>
    <row r="94" spans="1:14" ht="21" customHeight="1" x14ac:dyDescent="0.3">
      <c r="A94" s="3"/>
      <c r="B94" s="315"/>
      <c r="C94" s="317" t="s">
        <v>119</v>
      </c>
      <c r="D94" s="313" t="s">
        <v>121</v>
      </c>
      <c r="E94" s="313" t="s">
        <v>121</v>
      </c>
      <c r="F94" s="313" t="s">
        <v>121</v>
      </c>
      <c r="G94" s="313" t="s">
        <v>121</v>
      </c>
      <c r="H94" s="49"/>
      <c r="I94" s="49"/>
      <c r="J94" s="49"/>
      <c r="K94" s="49"/>
      <c r="L94" s="49"/>
      <c r="M94" s="49"/>
      <c r="N94" s="49"/>
    </row>
    <row r="95" spans="1:14" ht="98.4" customHeight="1" x14ac:dyDescent="0.3">
      <c r="A95" s="3"/>
      <c r="B95" s="315"/>
      <c r="C95" s="318"/>
      <c r="D95" s="314"/>
      <c r="E95" s="314"/>
      <c r="F95" s="314"/>
      <c r="G95" s="314"/>
      <c r="H95" s="49"/>
      <c r="I95" s="49"/>
      <c r="J95" s="49"/>
      <c r="K95" s="49"/>
      <c r="L95" s="49"/>
      <c r="M95" s="49"/>
      <c r="N95" s="49"/>
    </row>
    <row r="96" spans="1:14" ht="21" customHeight="1" x14ac:dyDescent="0.3">
      <c r="A96" s="3"/>
      <c r="B96" s="315"/>
      <c r="C96" s="4" t="s">
        <v>58</v>
      </c>
      <c r="D96" s="52" t="s">
        <v>50</v>
      </c>
      <c r="E96" s="52" t="s">
        <v>50</v>
      </c>
      <c r="F96" s="52" t="s">
        <v>50</v>
      </c>
      <c r="G96" s="52" t="s">
        <v>50</v>
      </c>
      <c r="H96" s="49"/>
      <c r="I96" s="49"/>
      <c r="J96" s="49"/>
      <c r="K96" s="49"/>
      <c r="L96" s="49"/>
      <c r="M96" s="49"/>
      <c r="N96" s="49"/>
    </row>
    <row r="97" spans="1:14" x14ac:dyDescent="0.4">
      <c r="A97" s="3"/>
      <c r="B97" s="315" t="s">
        <v>61</v>
      </c>
      <c r="C97" s="4" t="s">
        <v>118</v>
      </c>
      <c r="D97" s="48">
        <v>13.77</v>
      </c>
      <c r="E97" s="53">
        <v>65.36</v>
      </c>
      <c r="F97" s="53">
        <v>40.840000000000003</v>
      </c>
      <c r="G97" s="50">
        <v>33.380000000000003</v>
      </c>
      <c r="H97" s="49"/>
      <c r="I97" s="49"/>
      <c r="J97" s="49"/>
      <c r="K97" s="49"/>
      <c r="L97" s="49"/>
      <c r="M97" s="49"/>
      <c r="N97" s="49"/>
    </row>
    <row r="98" spans="1:14" ht="21" customHeight="1" x14ac:dyDescent="0.3">
      <c r="A98" s="3"/>
      <c r="B98" s="315"/>
      <c r="C98" s="4" t="s">
        <v>57</v>
      </c>
      <c r="D98" s="50"/>
      <c r="E98" s="50"/>
      <c r="F98" s="50"/>
      <c r="G98" s="50"/>
      <c r="H98" s="49"/>
      <c r="I98" s="49"/>
      <c r="J98" s="49"/>
      <c r="K98" s="49"/>
      <c r="L98" s="49"/>
      <c r="M98" s="49"/>
      <c r="N98" s="49"/>
    </row>
    <row r="99" spans="1:14" x14ac:dyDescent="0.3">
      <c r="A99" s="3"/>
      <c r="B99" s="316"/>
      <c r="C99" s="317" t="s">
        <v>119</v>
      </c>
      <c r="D99" s="313" t="s">
        <v>121</v>
      </c>
      <c r="E99" s="313" t="s">
        <v>121</v>
      </c>
      <c r="F99" s="313" t="s">
        <v>121</v>
      </c>
      <c r="G99" s="313" t="s">
        <v>121</v>
      </c>
      <c r="H99" s="49"/>
      <c r="I99" s="49"/>
      <c r="J99" s="49"/>
      <c r="K99" s="49"/>
      <c r="L99" s="49"/>
      <c r="M99" s="49"/>
      <c r="N99" s="49"/>
    </row>
    <row r="100" spans="1:14" ht="89.4" customHeight="1" x14ac:dyDescent="0.3">
      <c r="A100" s="3"/>
      <c r="B100" s="316"/>
      <c r="C100" s="318"/>
      <c r="D100" s="314"/>
      <c r="E100" s="314"/>
      <c r="F100" s="314"/>
      <c r="G100" s="314"/>
      <c r="H100" s="49"/>
      <c r="I100" s="49"/>
      <c r="J100" s="49"/>
      <c r="K100" s="49"/>
      <c r="L100" s="49"/>
      <c r="M100" s="49"/>
      <c r="N100" s="49"/>
    </row>
    <row r="101" spans="1:14" x14ac:dyDescent="0.3">
      <c r="A101" s="3"/>
      <c r="B101" s="316"/>
      <c r="C101" s="4" t="s">
        <v>58</v>
      </c>
      <c r="D101" s="52" t="s">
        <v>50</v>
      </c>
      <c r="E101" s="52" t="s">
        <v>50</v>
      </c>
      <c r="F101" s="52" t="s">
        <v>50</v>
      </c>
      <c r="G101" s="52" t="s">
        <v>50</v>
      </c>
      <c r="H101" s="49"/>
      <c r="I101" s="49"/>
      <c r="J101" s="49"/>
      <c r="K101" s="49"/>
      <c r="L101" s="49"/>
      <c r="M101" s="49"/>
      <c r="N101" s="49"/>
    </row>
    <row r="102" spans="1:14" x14ac:dyDescent="0.3">
      <c r="A102" s="3"/>
      <c r="B102" s="319" t="s">
        <v>613</v>
      </c>
      <c r="C102" s="320"/>
      <c r="D102" s="320"/>
      <c r="E102" s="320"/>
      <c r="F102" s="320"/>
      <c r="G102" s="321"/>
      <c r="H102" s="49"/>
      <c r="I102" s="49"/>
      <c r="J102" s="49"/>
      <c r="K102" s="49"/>
      <c r="L102" s="49"/>
      <c r="M102" s="49"/>
      <c r="N102" s="49"/>
    </row>
    <row r="103" spans="1:14" x14ac:dyDescent="0.3">
      <c r="A103" s="3"/>
      <c r="B103" s="322" t="s">
        <v>62</v>
      </c>
      <c r="C103" s="323"/>
      <c r="D103" s="323"/>
      <c r="E103" s="323"/>
      <c r="F103" s="323"/>
      <c r="G103" s="324"/>
      <c r="H103" s="49"/>
      <c r="I103" s="49"/>
      <c r="J103" s="49"/>
      <c r="K103" s="49"/>
      <c r="L103" s="49"/>
      <c r="M103" s="49"/>
      <c r="N103" s="49"/>
    </row>
    <row r="104" spans="1:14" ht="45.75" customHeight="1" x14ac:dyDescent="0.3">
      <c r="A104" s="3"/>
      <c r="B104" s="327" t="s">
        <v>755</v>
      </c>
      <c r="C104" s="338"/>
      <c r="D104" s="338"/>
      <c r="E104" s="338"/>
      <c r="F104" s="338"/>
      <c r="G104" s="339"/>
      <c r="H104" s="49"/>
      <c r="I104" s="49"/>
      <c r="J104" s="49"/>
      <c r="K104" s="49"/>
      <c r="L104" s="49"/>
      <c r="M104" s="49"/>
      <c r="N104" s="49"/>
    </row>
    <row r="105" spans="1:14" x14ac:dyDescent="0.3">
      <c r="C105" s="306"/>
      <c r="D105" s="306"/>
      <c r="E105" s="306"/>
      <c r="F105" s="306"/>
      <c r="G105" s="306"/>
      <c r="H105" s="49"/>
      <c r="I105" s="49"/>
    </row>
    <row r="106" spans="1:14" x14ac:dyDescent="0.3">
      <c r="A106" s="9">
        <v>14</v>
      </c>
      <c r="B106" s="54" t="s">
        <v>63</v>
      </c>
      <c r="C106" s="247"/>
      <c r="D106" s="248"/>
      <c r="E106" s="248"/>
      <c r="F106" s="248"/>
      <c r="G106" s="362"/>
    </row>
    <row r="107" spans="1:14" x14ac:dyDescent="0.3">
      <c r="A107" s="22"/>
      <c r="C107" s="55"/>
      <c r="D107" s="55"/>
      <c r="E107" s="55"/>
      <c r="F107" s="55"/>
      <c r="G107" s="55"/>
    </row>
    <row r="109" spans="1:14" x14ac:dyDescent="0.3">
      <c r="B109" s="299" t="s">
        <v>110</v>
      </c>
      <c r="C109" s="312"/>
      <c r="D109" s="312"/>
      <c r="E109" s="312"/>
      <c r="F109" s="312"/>
      <c r="G109" s="312"/>
      <c r="H109" s="312"/>
    </row>
    <row r="114" spans="4:5" x14ac:dyDescent="0.3">
      <c r="D114" s="56"/>
      <c r="E114" s="56"/>
    </row>
    <row r="115" spans="4:5" x14ac:dyDescent="0.3">
      <c r="E115" s="56"/>
    </row>
  </sheetData>
  <mergeCells count="76">
    <mergeCell ref="B104:G104"/>
    <mergeCell ref="C106:G106"/>
    <mergeCell ref="F67:H67"/>
    <mergeCell ref="I67:K67"/>
    <mergeCell ref="L67:N67"/>
    <mergeCell ref="G89:G90"/>
    <mergeCell ref="B87:B91"/>
    <mergeCell ref="B72:F72"/>
    <mergeCell ref="B73:F73"/>
    <mergeCell ref="B74:F74"/>
    <mergeCell ref="C89:C90"/>
    <mergeCell ref="D89:D90"/>
    <mergeCell ref="E89:E90"/>
    <mergeCell ref="F89:F90"/>
    <mergeCell ref="B71:N71"/>
    <mergeCell ref="B76:G76"/>
    <mergeCell ref="G82:G85"/>
    <mergeCell ref="C56:E56"/>
    <mergeCell ref="C57:E57"/>
    <mergeCell ref="B58:E58"/>
    <mergeCell ref="C60:E60"/>
    <mergeCell ref="B67:B68"/>
    <mergeCell ref="C67:C68"/>
    <mergeCell ref="D67:D68"/>
    <mergeCell ref="E67:E68"/>
    <mergeCell ref="C63:E63"/>
    <mergeCell ref="B79:B86"/>
    <mergeCell ref="C82:C85"/>
    <mergeCell ref="D82:D85"/>
    <mergeCell ref="E82:E85"/>
    <mergeCell ref="F82:F85"/>
    <mergeCell ref="B48:E48"/>
    <mergeCell ref="B53:E53"/>
    <mergeCell ref="B54:B55"/>
    <mergeCell ref="C54:E55"/>
    <mergeCell ref="B51:E51"/>
    <mergeCell ref="C20:E20"/>
    <mergeCell ref="C45:E45"/>
    <mergeCell ref="B46:E46"/>
    <mergeCell ref="C44:E44"/>
    <mergeCell ref="B33:E33"/>
    <mergeCell ref="B35:E35"/>
    <mergeCell ref="B39:C39"/>
    <mergeCell ref="B42:E42"/>
    <mergeCell ref="C43:E43"/>
    <mergeCell ref="C22:E22"/>
    <mergeCell ref="B23:E23"/>
    <mergeCell ref="B26:E26"/>
    <mergeCell ref="B27:E27"/>
    <mergeCell ref="C21:E21"/>
    <mergeCell ref="B12:D12"/>
    <mergeCell ref="B15:C15"/>
    <mergeCell ref="B17:E17"/>
    <mergeCell ref="C18:E18"/>
    <mergeCell ref="C19:E19"/>
    <mergeCell ref="A1:B1"/>
    <mergeCell ref="C5:E5"/>
    <mergeCell ref="B6:D6"/>
    <mergeCell ref="B9:D9"/>
    <mergeCell ref="C11:E11"/>
    <mergeCell ref="B109:H109"/>
    <mergeCell ref="G94:G95"/>
    <mergeCell ref="B97:B101"/>
    <mergeCell ref="C99:C100"/>
    <mergeCell ref="D99:D100"/>
    <mergeCell ref="E99:E100"/>
    <mergeCell ref="F99:F100"/>
    <mergeCell ref="G99:G100"/>
    <mergeCell ref="B92:B96"/>
    <mergeCell ref="C94:C95"/>
    <mergeCell ref="D94:D95"/>
    <mergeCell ref="E94:E95"/>
    <mergeCell ref="F94:F95"/>
    <mergeCell ref="B102:G102"/>
    <mergeCell ref="B103:G103"/>
    <mergeCell ref="C105:G105"/>
  </mergeCells>
  <pageMargins left="0.70866141732283472" right="0.70866141732283472" top="0.74803149606299213" bottom="0.74803149606299213" header="0.31496062992125984" footer="0.31496062992125984"/>
  <pageSetup paperSize="9" scale="25" fitToWidth="60" fitToHeight="2" orientation="landscape" horizontalDpi="1200" verticalDpi="1200" r:id="rId1"/>
  <rowBreaks count="1" manualBreakCount="1">
    <brk id="11" max="13" man="1"/>
  </rowBreaks>
  <colBreaks count="2" manualBreakCount="2">
    <brk id="1" max="116" man="1"/>
    <brk id="5" max="116"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A293A-7222-4E45-824B-990CBF451E82}">
  <sheetPr>
    <pageSetUpPr fitToPage="1"/>
  </sheetPr>
  <dimension ref="A1:Q100"/>
  <sheetViews>
    <sheetView view="pageBreakPreview" topLeftCell="B67" zoomScale="60" zoomScaleNormal="51" workbookViewId="0">
      <selection activeCell="G84" sqref="G84"/>
    </sheetView>
  </sheetViews>
  <sheetFormatPr defaultColWidth="8.6640625" defaultRowHeight="21" x14ac:dyDescent="0.3"/>
  <cols>
    <col min="1" max="1" width="8.6640625" style="1"/>
    <col min="2" max="2" width="58.33203125" style="1" customWidth="1"/>
    <col min="3" max="3" width="81" style="1" customWidth="1"/>
    <col min="4" max="4" width="73.109375" style="1" customWidth="1"/>
    <col min="5" max="5" width="27.6640625" style="1" customWidth="1"/>
    <col min="6" max="6" width="15.44140625" style="1" customWidth="1"/>
    <col min="7" max="7" width="17.5546875" style="1" customWidth="1"/>
    <col min="8" max="8" width="22.6640625" style="1" customWidth="1"/>
    <col min="9" max="9" width="15.6640625" style="1" customWidth="1"/>
    <col min="10" max="10" width="19" style="1" customWidth="1"/>
    <col min="11" max="11" width="15.33203125" style="1" customWidth="1"/>
    <col min="12" max="14" width="12.88671875" style="1" bestFit="1" customWidth="1"/>
    <col min="15" max="16384" width="8.6640625" style="1"/>
  </cols>
  <sheetData>
    <row r="1" spans="1:5" ht="20.25" customHeight="1" x14ac:dyDescent="0.3">
      <c r="A1" s="246" t="s">
        <v>0</v>
      </c>
      <c r="B1" s="246"/>
      <c r="D1" s="2"/>
    </row>
    <row r="3" spans="1:5" ht="40.799999999999997" x14ac:dyDescent="0.3">
      <c r="A3" s="3" t="s">
        <v>1</v>
      </c>
      <c r="B3" s="54" t="s">
        <v>2</v>
      </c>
      <c r="C3" s="5" t="s">
        <v>551</v>
      </c>
    </row>
    <row r="4" spans="1:5" x14ac:dyDescent="0.3">
      <c r="D4" s="22"/>
    </row>
    <row r="5" spans="1:5" x14ac:dyDescent="0.3">
      <c r="A5" s="62">
        <v>1</v>
      </c>
      <c r="B5" s="63" t="s">
        <v>3</v>
      </c>
      <c r="C5" s="247" t="s">
        <v>798</v>
      </c>
      <c r="D5" s="248"/>
      <c r="E5" s="249"/>
    </row>
    <row r="6" spans="1:5" x14ac:dyDescent="0.3">
      <c r="A6" s="3"/>
      <c r="B6" s="250" t="s">
        <v>4</v>
      </c>
      <c r="C6" s="251"/>
      <c r="D6" s="252"/>
      <c r="E6" s="10"/>
    </row>
    <row r="7" spans="1:5" x14ac:dyDescent="0.3">
      <c r="A7" s="3"/>
      <c r="B7" s="2"/>
      <c r="D7" s="22"/>
    </row>
    <row r="8" spans="1:5" x14ac:dyDescent="0.3">
      <c r="A8" s="3">
        <v>2</v>
      </c>
      <c r="B8" s="63" t="s">
        <v>5</v>
      </c>
      <c r="C8" s="12" t="s">
        <v>274</v>
      </c>
      <c r="D8" s="22"/>
    </row>
    <row r="9" spans="1:5" x14ac:dyDescent="0.3">
      <c r="A9" s="3"/>
      <c r="B9" s="250" t="s">
        <v>4</v>
      </c>
      <c r="C9" s="251"/>
      <c r="D9" s="252"/>
    </row>
    <row r="10" spans="1:5" x14ac:dyDescent="0.3">
      <c r="A10" s="3"/>
      <c r="B10" s="2"/>
      <c r="D10" s="22"/>
    </row>
    <row r="11" spans="1:5" ht="40.950000000000003" customHeight="1" x14ac:dyDescent="0.3">
      <c r="A11" s="3">
        <v>3</v>
      </c>
      <c r="B11" s="63" t="s">
        <v>6</v>
      </c>
      <c r="C11" s="247" t="s">
        <v>90</v>
      </c>
      <c r="D11" s="248"/>
      <c r="E11" s="249"/>
    </row>
    <row r="12" spans="1:5" x14ac:dyDescent="0.3">
      <c r="A12" s="3"/>
      <c r="B12" s="250" t="s">
        <v>4</v>
      </c>
      <c r="C12" s="251"/>
      <c r="D12" s="252"/>
      <c r="E12" s="10"/>
    </row>
    <row r="13" spans="1:5" x14ac:dyDescent="0.3">
      <c r="A13" s="3"/>
      <c r="B13" s="2"/>
      <c r="D13" s="22"/>
    </row>
    <row r="14" spans="1:5" x14ac:dyDescent="0.3">
      <c r="A14" s="3">
        <v>4</v>
      </c>
      <c r="B14" s="54" t="s">
        <v>92</v>
      </c>
      <c r="C14" s="247" t="s">
        <v>90</v>
      </c>
      <c r="D14" s="248"/>
      <c r="E14" s="249"/>
    </row>
    <row r="15" spans="1:5" x14ac:dyDescent="0.3">
      <c r="A15" s="3"/>
      <c r="B15" s="250" t="s">
        <v>4</v>
      </c>
      <c r="C15" s="251"/>
      <c r="D15" s="252"/>
    </row>
    <row r="16" spans="1:5" x14ac:dyDescent="0.3">
      <c r="A16" s="3">
        <v>4</v>
      </c>
      <c r="B16" s="54" t="s">
        <v>7</v>
      </c>
      <c r="C16" s="5" t="s">
        <v>275</v>
      </c>
      <c r="D16" s="22"/>
    </row>
    <row r="17" spans="1:14" x14ac:dyDescent="0.3">
      <c r="A17" s="3"/>
      <c r="B17" s="253" t="s">
        <v>8</v>
      </c>
      <c r="C17" s="254"/>
      <c r="D17" s="22"/>
    </row>
    <row r="18" spans="1:14" x14ac:dyDescent="0.3">
      <c r="A18" s="3"/>
      <c r="D18" s="22"/>
    </row>
    <row r="19" spans="1:14" x14ac:dyDescent="0.3">
      <c r="A19" s="3">
        <v>5</v>
      </c>
      <c r="B19" s="255" t="s">
        <v>9</v>
      </c>
      <c r="C19" s="256"/>
      <c r="D19" s="256"/>
      <c r="E19" s="257"/>
      <c r="F19" s="2"/>
      <c r="G19" s="2"/>
      <c r="H19" s="2"/>
      <c r="I19" s="2"/>
      <c r="J19" s="10"/>
      <c r="K19" s="10"/>
      <c r="L19" s="10"/>
      <c r="M19" s="10"/>
      <c r="N19" s="10"/>
    </row>
    <row r="20" spans="1:14" x14ac:dyDescent="0.3">
      <c r="A20" s="3"/>
      <c r="B20" s="65" t="s">
        <v>10</v>
      </c>
      <c r="C20" s="243" t="s">
        <v>11</v>
      </c>
      <c r="D20" s="244"/>
      <c r="E20" s="245"/>
      <c r="F20" s="66"/>
      <c r="G20" s="10"/>
      <c r="H20" s="10"/>
      <c r="I20" s="10"/>
      <c r="J20" s="10"/>
      <c r="K20" s="10"/>
      <c r="L20" s="10"/>
      <c r="M20" s="10"/>
      <c r="N20" s="10"/>
    </row>
    <row r="21" spans="1:14" ht="61.2" x14ac:dyDescent="0.3">
      <c r="A21" s="3"/>
      <c r="B21" s="65" t="s">
        <v>242</v>
      </c>
      <c r="C21" s="243" t="s">
        <v>11</v>
      </c>
      <c r="D21" s="244"/>
      <c r="E21" s="245"/>
      <c r="F21" s="66"/>
      <c r="G21" s="10"/>
      <c r="I21" s="10"/>
      <c r="J21" s="10"/>
      <c r="K21" s="10"/>
      <c r="L21" s="10"/>
      <c r="M21" s="10"/>
      <c r="N21" s="10"/>
    </row>
    <row r="22" spans="1:14" x14ac:dyDescent="0.3">
      <c r="A22" s="3"/>
      <c r="B22" s="65" t="s">
        <v>243</v>
      </c>
      <c r="C22" s="438" t="s">
        <v>11</v>
      </c>
      <c r="D22" s="439"/>
      <c r="E22" s="440"/>
      <c r="F22" s="66"/>
      <c r="G22" s="10"/>
      <c r="H22" s="10"/>
      <c r="I22" s="10"/>
      <c r="J22" s="10"/>
      <c r="K22" s="10"/>
      <c r="L22" s="10"/>
      <c r="M22" s="10"/>
      <c r="N22" s="10"/>
    </row>
    <row r="23" spans="1:14" x14ac:dyDescent="0.3">
      <c r="A23" s="3"/>
      <c r="B23" s="64" t="s">
        <v>252</v>
      </c>
      <c r="C23" s="442">
        <v>0.37</v>
      </c>
      <c r="D23" s="370"/>
      <c r="E23" s="371"/>
      <c r="F23" s="66"/>
      <c r="G23" s="10"/>
      <c r="H23" s="10"/>
      <c r="I23" s="10"/>
      <c r="J23" s="10"/>
      <c r="K23" s="10"/>
      <c r="L23" s="10"/>
      <c r="M23" s="10"/>
      <c r="N23" s="10"/>
    </row>
    <row r="24" spans="1:14" x14ac:dyDescent="0.3">
      <c r="A24" s="3"/>
      <c r="B24" s="67" t="s">
        <v>253</v>
      </c>
      <c r="C24" s="401">
        <v>1.35</v>
      </c>
      <c r="D24" s="401"/>
      <c r="E24" s="401"/>
      <c r="F24" s="66"/>
      <c r="G24" s="10"/>
      <c r="H24" s="10"/>
      <c r="I24" s="10"/>
      <c r="J24" s="10"/>
      <c r="K24" s="10"/>
      <c r="L24" s="10"/>
      <c r="M24" s="10"/>
      <c r="N24" s="10"/>
    </row>
    <row r="25" spans="1:14" ht="40.5" customHeight="1" x14ac:dyDescent="0.3">
      <c r="A25" s="3"/>
      <c r="B25" s="262" t="s">
        <v>780</v>
      </c>
      <c r="C25" s="262"/>
      <c r="D25" s="262"/>
      <c r="E25" s="262"/>
      <c r="F25" s="66"/>
      <c r="G25" s="10"/>
      <c r="H25" s="10"/>
      <c r="I25" s="10"/>
      <c r="J25" s="10"/>
      <c r="K25" s="10"/>
      <c r="L25" s="10"/>
      <c r="M25" s="10"/>
      <c r="N25" s="10"/>
    </row>
    <row r="26" spans="1:14" x14ac:dyDescent="0.3">
      <c r="A26" s="3">
        <v>6</v>
      </c>
      <c r="B26" s="261" t="s">
        <v>74</v>
      </c>
      <c r="C26" s="262"/>
      <c r="D26" s="262"/>
      <c r="E26" s="263"/>
      <c r="F26" s="2"/>
      <c r="G26" s="2"/>
      <c r="H26" s="10"/>
      <c r="I26" s="2"/>
      <c r="J26" s="2"/>
    </row>
    <row r="27" spans="1:14" x14ac:dyDescent="0.3">
      <c r="A27" s="3"/>
      <c r="B27" s="264" t="s">
        <v>17</v>
      </c>
      <c r="C27" s="265"/>
      <c r="D27" s="265"/>
      <c r="E27" s="266"/>
      <c r="F27" s="66"/>
    </row>
    <row r="28" spans="1:14" x14ac:dyDescent="0.3">
      <c r="A28" s="3"/>
      <c r="B28" s="67" t="s">
        <v>18</v>
      </c>
      <c r="C28" s="25" t="s">
        <v>244</v>
      </c>
      <c r="D28" s="25" t="s">
        <v>245</v>
      </c>
      <c r="E28" s="25" t="s">
        <v>246</v>
      </c>
      <c r="F28" s="66"/>
    </row>
    <row r="29" spans="1:14" ht="20.7" customHeight="1" x14ac:dyDescent="0.3">
      <c r="A29" s="3"/>
      <c r="B29" s="68" t="s">
        <v>21</v>
      </c>
      <c r="C29" s="5">
        <v>5666.35</v>
      </c>
      <c r="D29" s="175">
        <v>7772.21</v>
      </c>
      <c r="E29" s="175">
        <v>11420.64</v>
      </c>
      <c r="F29" s="66"/>
    </row>
    <row r="30" spans="1:14" x14ac:dyDescent="0.3">
      <c r="A30" s="3"/>
      <c r="B30" s="68" t="s">
        <v>23</v>
      </c>
      <c r="C30" s="5">
        <v>370.1</v>
      </c>
      <c r="D30" s="5">
        <v>547.35</v>
      </c>
      <c r="E30" s="121">
        <v>970.4</v>
      </c>
      <c r="F30" s="66"/>
    </row>
    <row r="31" spans="1:14" x14ac:dyDescent="0.3">
      <c r="A31" s="3"/>
      <c r="B31" s="68" t="s">
        <v>24</v>
      </c>
      <c r="C31" s="5">
        <v>903.5</v>
      </c>
      <c r="D31" s="175">
        <v>1007.12</v>
      </c>
      <c r="E31" s="175">
        <v>1394.42</v>
      </c>
      <c r="F31" s="66"/>
      <c r="H31" s="57"/>
    </row>
    <row r="32" spans="1:14" x14ac:dyDescent="0.3">
      <c r="A32" s="3"/>
      <c r="B32" s="68" t="s">
        <v>25</v>
      </c>
      <c r="C32" s="5">
        <v>2293.9</v>
      </c>
      <c r="D32" s="175">
        <v>5033.8900000000003</v>
      </c>
      <c r="E32" s="175">
        <v>10458.35</v>
      </c>
      <c r="F32" s="66"/>
    </row>
    <row r="33" spans="1:10" x14ac:dyDescent="0.3">
      <c r="A33" s="3"/>
      <c r="B33" s="253" t="s">
        <v>793</v>
      </c>
      <c r="C33" s="270"/>
      <c r="D33" s="270"/>
      <c r="E33" s="254"/>
      <c r="F33" s="66"/>
    </row>
    <row r="34" spans="1:10" x14ac:dyDescent="0.3">
      <c r="A34" s="3"/>
      <c r="B34" s="10"/>
      <c r="C34" s="66"/>
      <c r="D34" s="66"/>
      <c r="E34" s="66"/>
      <c r="F34" s="66"/>
    </row>
    <row r="35" spans="1:10" ht="41.7" customHeight="1" x14ac:dyDescent="0.3">
      <c r="A35" s="3">
        <v>7</v>
      </c>
      <c r="B35" s="261" t="s">
        <v>26</v>
      </c>
      <c r="C35" s="262"/>
      <c r="D35" s="262"/>
      <c r="E35" s="263"/>
      <c r="F35" s="2"/>
      <c r="G35" s="2"/>
      <c r="H35" s="2"/>
      <c r="I35" s="2"/>
      <c r="J35" s="2"/>
    </row>
    <row r="36" spans="1:10" x14ac:dyDescent="0.3">
      <c r="A36" s="3"/>
      <c r="B36" s="67" t="s">
        <v>247</v>
      </c>
      <c r="C36" s="27" t="s">
        <v>496</v>
      </c>
      <c r="D36" s="5"/>
      <c r="E36" s="5"/>
      <c r="F36" s="10"/>
    </row>
    <row r="37" spans="1:10" x14ac:dyDescent="0.3">
      <c r="A37" s="3"/>
      <c r="B37" s="67" t="s">
        <v>28</v>
      </c>
      <c r="C37" s="27" t="s">
        <v>496</v>
      </c>
      <c r="D37" s="68"/>
      <c r="E37" s="68"/>
      <c r="F37" s="10"/>
    </row>
    <row r="38" spans="1:10" x14ac:dyDescent="0.3">
      <c r="A38" s="3"/>
      <c r="B38" s="67" t="s">
        <v>29</v>
      </c>
      <c r="C38" s="27" t="s">
        <v>496</v>
      </c>
      <c r="D38" s="68"/>
      <c r="E38" s="68"/>
      <c r="F38" s="10"/>
    </row>
    <row r="39" spans="1:10" ht="42" customHeight="1" x14ac:dyDescent="0.3">
      <c r="A39" s="3"/>
      <c r="B39" s="271" t="s">
        <v>277</v>
      </c>
      <c r="C39" s="271"/>
      <c r="D39" s="271"/>
      <c r="E39" s="10"/>
      <c r="F39" s="10"/>
    </row>
    <row r="40" spans="1:10" x14ac:dyDescent="0.3">
      <c r="A40" s="3"/>
      <c r="B40" s="66"/>
      <c r="C40" s="10"/>
      <c r="D40" s="10"/>
      <c r="E40" s="10"/>
      <c r="F40" s="10"/>
    </row>
    <row r="41" spans="1:10" x14ac:dyDescent="0.3">
      <c r="A41" s="3">
        <v>8</v>
      </c>
      <c r="B41" s="261" t="s">
        <v>30</v>
      </c>
      <c r="C41" s="262"/>
      <c r="D41" s="262"/>
      <c r="E41" s="263"/>
      <c r="F41" s="2"/>
      <c r="G41" s="2"/>
      <c r="H41" s="2"/>
      <c r="I41" s="2"/>
      <c r="J41" s="2"/>
    </row>
    <row r="42" spans="1:10" x14ac:dyDescent="0.3">
      <c r="A42" s="3"/>
      <c r="B42" s="67" t="s">
        <v>31</v>
      </c>
      <c r="C42" s="258" t="s">
        <v>11</v>
      </c>
      <c r="D42" s="259"/>
      <c r="E42" s="260"/>
      <c r="F42" s="10"/>
    </row>
    <row r="43" spans="1:10" ht="96.75" customHeight="1" x14ac:dyDescent="0.3">
      <c r="A43" s="3"/>
      <c r="B43" s="67" t="s">
        <v>28</v>
      </c>
      <c r="C43" s="258" t="s">
        <v>745</v>
      </c>
      <c r="D43" s="259"/>
      <c r="E43" s="260"/>
      <c r="F43" s="10"/>
    </row>
    <row r="44" spans="1:10" ht="97.2" customHeight="1" x14ac:dyDescent="0.3">
      <c r="A44" s="3"/>
      <c r="B44" s="67" t="s">
        <v>29</v>
      </c>
      <c r="C44" s="258" t="s">
        <v>904</v>
      </c>
      <c r="D44" s="259"/>
      <c r="E44" s="260"/>
      <c r="F44" s="10"/>
    </row>
    <row r="45" spans="1:10" x14ac:dyDescent="0.3">
      <c r="A45" s="3"/>
      <c r="B45" s="253" t="s">
        <v>794</v>
      </c>
      <c r="C45" s="270"/>
      <c r="D45" s="270"/>
      <c r="E45" s="254"/>
      <c r="F45" s="10"/>
    </row>
    <row r="46" spans="1:10" x14ac:dyDescent="0.3">
      <c r="A46" s="3"/>
      <c r="D46" s="22"/>
      <c r="E46" s="10"/>
    </row>
    <row r="47" spans="1:10" ht="83.4" customHeight="1" x14ac:dyDescent="0.3">
      <c r="A47" s="191">
        <v>9</v>
      </c>
      <c r="B47" s="262" t="s">
        <v>32</v>
      </c>
      <c r="C47" s="262"/>
      <c r="D47" s="262"/>
      <c r="E47" s="263"/>
      <c r="F47" s="2"/>
      <c r="G47" s="2"/>
      <c r="H47" s="2"/>
      <c r="I47" s="2"/>
    </row>
    <row r="48" spans="1:10" ht="81.599999999999994" x14ac:dyDescent="0.3">
      <c r="A48" s="191"/>
      <c r="B48" s="24" t="s">
        <v>33</v>
      </c>
      <c r="C48" s="25" t="s">
        <v>34</v>
      </c>
      <c r="D48" s="25" t="s">
        <v>96</v>
      </c>
      <c r="E48" s="25" t="s">
        <v>35</v>
      </c>
    </row>
    <row r="49" spans="1:14" ht="166.2" customHeight="1" x14ac:dyDescent="0.3">
      <c r="A49" s="191"/>
      <c r="B49" s="189" t="s">
        <v>261</v>
      </c>
      <c r="C49" s="27" t="s">
        <v>280</v>
      </c>
      <c r="D49" s="27" t="s">
        <v>280</v>
      </c>
      <c r="E49" s="27" t="s">
        <v>50</v>
      </c>
    </row>
    <row r="50" spans="1:14" x14ac:dyDescent="0.3">
      <c r="A50" s="191"/>
      <c r="B50" s="410"/>
      <c r="C50" s="410"/>
      <c r="D50" s="410"/>
      <c r="E50" s="411"/>
    </row>
    <row r="51" spans="1:14" x14ac:dyDescent="0.3">
      <c r="A51" s="191"/>
      <c r="B51" s="103" t="s">
        <v>746</v>
      </c>
      <c r="C51" s="87"/>
      <c r="D51" s="87"/>
      <c r="E51" s="87"/>
    </row>
    <row r="52" spans="1:14" x14ac:dyDescent="0.3">
      <c r="A52" s="191"/>
      <c r="B52" s="28"/>
      <c r="C52" s="22"/>
      <c r="D52" s="22"/>
      <c r="E52" s="22"/>
      <c r="F52" s="66"/>
      <c r="G52" s="66"/>
      <c r="H52" s="66"/>
      <c r="I52" s="66"/>
    </row>
    <row r="53" spans="1:14" ht="43.2" customHeight="1" x14ac:dyDescent="0.3">
      <c r="A53" s="191">
        <v>10</v>
      </c>
      <c r="B53" s="262" t="s">
        <v>32</v>
      </c>
      <c r="C53" s="262"/>
      <c r="D53" s="262"/>
      <c r="E53" s="263"/>
      <c r="F53" s="66"/>
      <c r="G53" s="66"/>
      <c r="H53" s="66"/>
    </row>
    <row r="54" spans="1:14" x14ac:dyDescent="0.3">
      <c r="A54" s="191"/>
      <c r="B54" s="275" t="s">
        <v>36</v>
      </c>
      <c r="C54" s="277" t="s">
        <v>280</v>
      </c>
      <c r="D54" s="278"/>
      <c r="E54" s="279"/>
      <c r="K54" s="2"/>
    </row>
    <row r="55" spans="1:14" ht="100.2" customHeight="1" x14ac:dyDescent="0.3">
      <c r="A55" s="191"/>
      <c r="B55" s="276"/>
      <c r="C55" s="280"/>
      <c r="D55" s="281"/>
      <c r="E55" s="282"/>
      <c r="K55" s="2"/>
    </row>
    <row r="56" spans="1:14" ht="123.6" customHeight="1" x14ac:dyDescent="0.3">
      <c r="A56" s="191"/>
      <c r="B56" s="29" t="s">
        <v>37</v>
      </c>
      <c r="C56" s="283" t="s">
        <v>280</v>
      </c>
      <c r="D56" s="284"/>
      <c r="E56" s="285"/>
    </row>
    <row r="57" spans="1:14" x14ac:dyDescent="0.3">
      <c r="A57" s="191"/>
      <c r="B57" s="29" t="s">
        <v>38</v>
      </c>
      <c r="C57" s="286" t="s">
        <v>232</v>
      </c>
      <c r="D57" s="287"/>
      <c r="E57" s="288"/>
      <c r="K57" s="30"/>
    </row>
    <row r="58" spans="1:14" s="32" customFormat="1" x14ac:dyDescent="0.4">
      <c r="A58" s="111" t="s">
        <v>39</v>
      </c>
      <c r="B58" s="290" t="s">
        <v>746</v>
      </c>
      <c r="C58" s="290"/>
      <c r="D58" s="290"/>
      <c r="E58" s="291"/>
    </row>
    <row r="59" spans="1:14" x14ac:dyDescent="0.3">
      <c r="A59" s="71"/>
      <c r="B59" s="72"/>
      <c r="C59" s="73"/>
      <c r="D59" s="73"/>
      <c r="E59" s="73"/>
      <c r="F59" s="73"/>
    </row>
    <row r="60" spans="1:14" x14ac:dyDescent="0.3">
      <c r="A60" s="3">
        <v>11</v>
      </c>
      <c r="B60" s="54" t="s">
        <v>41</v>
      </c>
      <c r="C60" s="270" t="s">
        <v>121</v>
      </c>
      <c r="D60" s="270"/>
      <c r="E60" s="270"/>
      <c r="F60" s="2"/>
      <c r="G60" s="2"/>
      <c r="H60" s="74"/>
      <c r="I60" s="2"/>
      <c r="J60" s="2"/>
    </row>
    <row r="61" spans="1:14" ht="20.7" customHeight="1" x14ac:dyDescent="0.3">
      <c r="A61" s="3"/>
      <c r="B61" s="66"/>
      <c r="C61" s="270"/>
      <c r="D61" s="270"/>
      <c r="E61" s="270"/>
      <c r="F61" s="66"/>
      <c r="G61" s="66"/>
      <c r="H61" s="75"/>
      <c r="I61" s="75"/>
      <c r="J61" s="66"/>
    </row>
    <row r="62" spans="1:14" s="42" customFormat="1" x14ac:dyDescent="0.3">
      <c r="A62" s="76">
        <v>12</v>
      </c>
      <c r="B62" s="77" t="s">
        <v>42</v>
      </c>
      <c r="C62" s="272"/>
      <c r="D62" s="273"/>
      <c r="E62" s="274"/>
      <c r="F62" s="78"/>
      <c r="G62" s="79"/>
      <c r="H62" s="79"/>
      <c r="I62" s="79"/>
      <c r="J62" s="79"/>
      <c r="K62" s="79"/>
      <c r="L62" s="79"/>
      <c r="M62" s="79"/>
      <c r="N62" s="79"/>
    </row>
    <row r="63" spans="1:14" x14ac:dyDescent="0.3">
      <c r="A63" s="3"/>
      <c r="B63" s="2"/>
      <c r="C63" s="2"/>
      <c r="D63" s="2"/>
      <c r="E63" s="74"/>
      <c r="F63" s="74"/>
      <c r="G63" s="74"/>
      <c r="H63" s="2"/>
      <c r="I63" s="2"/>
      <c r="J63" s="2"/>
      <c r="K63" s="2"/>
      <c r="L63" s="2"/>
      <c r="M63" s="2"/>
      <c r="N63" s="2"/>
    </row>
    <row r="64" spans="1:14" x14ac:dyDescent="0.3">
      <c r="A64" s="3"/>
      <c r="B64" s="67" t="s">
        <v>43</v>
      </c>
      <c r="C64" s="68" t="s">
        <v>278</v>
      </c>
      <c r="D64" s="66"/>
      <c r="E64" s="66"/>
      <c r="F64" s="75"/>
      <c r="G64" s="75"/>
      <c r="H64" s="66"/>
      <c r="I64" s="66"/>
      <c r="J64" s="66"/>
      <c r="K64" s="66"/>
      <c r="L64" s="66"/>
      <c r="M64" s="66"/>
      <c r="N64" s="66"/>
    </row>
    <row r="65" spans="1:15" x14ac:dyDescent="0.3">
      <c r="A65" s="3"/>
      <c r="B65" s="66"/>
      <c r="C65" s="66"/>
      <c r="D65" s="66"/>
      <c r="E65" s="66"/>
      <c r="F65" s="66"/>
      <c r="G65" s="66"/>
      <c r="H65" s="66"/>
      <c r="I65" s="66"/>
      <c r="J65" s="66"/>
      <c r="K65" s="66"/>
      <c r="L65" s="66"/>
      <c r="M65" s="66"/>
      <c r="N65" s="66"/>
    </row>
    <row r="66" spans="1:15" ht="87.6" customHeight="1" x14ac:dyDescent="0.3">
      <c r="A66" s="3"/>
      <c r="B66" s="295" t="s">
        <v>44</v>
      </c>
      <c r="C66" s="295" t="s">
        <v>279</v>
      </c>
      <c r="D66" s="295" t="s">
        <v>68</v>
      </c>
      <c r="E66" s="297" t="s">
        <v>45</v>
      </c>
      <c r="F66" s="292" t="s">
        <v>254</v>
      </c>
      <c r="G66" s="293"/>
      <c r="H66" s="294"/>
      <c r="I66" s="292" t="s">
        <v>255</v>
      </c>
      <c r="J66" s="293"/>
      <c r="K66" s="294"/>
      <c r="L66" s="292" t="s">
        <v>197</v>
      </c>
      <c r="M66" s="293"/>
      <c r="N66" s="294"/>
    </row>
    <row r="67" spans="1:15" ht="61.2" x14ac:dyDescent="0.3">
      <c r="A67" s="3"/>
      <c r="B67" s="296"/>
      <c r="C67" s="296"/>
      <c r="D67" s="296"/>
      <c r="E67" s="298"/>
      <c r="F67" s="67" t="s">
        <v>46</v>
      </c>
      <c r="G67" s="67" t="s">
        <v>47</v>
      </c>
      <c r="H67" s="67" t="s">
        <v>48</v>
      </c>
      <c r="I67" s="67" t="s">
        <v>49</v>
      </c>
      <c r="J67" s="67" t="s">
        <v>47</v>
      </c>
      <c r="K67" s="67" t="s">
        <v>48</v>
      </c>
      <c r="L67" s="67" t="s">
        <v>49</v>
      </c>
      <c r="M67" s="67" t="s">
        <v>47</v>
      </c>
      <c r="N67" s="67" t="s">
        <v>48</v>
      </c>
    </row>
    <row r="68" spans="1:15" ht="105" customHeight="1" x14ac:dyDescent="0.3">
      <c r="A68" s="3"/>
      <c r="B68" s="67" t="s">
        <v>66</v>
      </c>
      <c r="C68" s="81">
        <v>116.65</v>
      </c>
      <c r="D68" s="82">
        <v>88</v>
      </c>
      <c r="E68" s="82">
        <v>97</v>
      </c>
      <c r="F68" s="121">
        <v>93.1</v>
      </c>
      <c r="G68" s="121">
        <v>159.94999999999999</v>
      </c>
      <c r="H68" s="121">
        <v>78</v>
      </c>
      <c r="I68" s="121">
        <v>123.5</v>
      </c>
      <c r="J68" s="121">
        <v>187.95</v>
      </c>
      <c r="K68" s="121">
        <v>91.05</v>
      </c>
      <c r="L68" s="121">
        <v>342.3</v>
      </c>
      <c r="M68" s="121">
        <v>374.8</v>
      </c>
      <c r="N68" s="121">
        <v>114</v>
      </c>
    </row>
    <row r="69" spans="1:15" ht="40.799999999999997" x14ac:dyDescent="0.3">
      <c r="A69" s="3"/>
      <c r="B69" s="69" t="s">
        <v>67</v>
      </c>
      <c r="C69" s="82">
        <v>20070</v>
      </c>
      <c r="D69" s="82">
        <v>19794</v>
      </c>
      <c r="E69" s="82">
        <v>20997.1</v>
      </c>
      <c r="F69" s="121">
        <v>22326.9</v>
      </c>
      <c r="G69" s="81">
        <v>22526.6</v>
      </c>
      <c r="H69" s="121">
        <v>17312.75</v>
      </c>
      <c r="I69" s="121">
        <v>23519.35</v>
      </c>
      <c r="J69" s="121">
        <v>26277.35</v>
      </c>
      <c r="K69" s="121">
        <v>21281.45</v>
      </c>
      <c r="L69" s="121">
        <v>22331.4</v>
      </c>
      <c r="M69" s="121">
        <v>26373.200000000001</v>
      </c>
      <c r="N69" s="121">
        <v>21743.65</v>
      </c>
    </row>
    <row r="70" spans="1:15" x14ac:dyDescent="0.3">
      <c r="A70" s="3"/>
      <c r="B70" s="253" t="s">
        <v>99</v>
      </c>
      <c r="C70" s="270"/>
      <c r="D70" s="270"/>
      <c r="E70" s="270"/>
      <c r="F70" s="270"/>
      <c r="G70" s="270"/>
      <c r="H70" s="270"/>
      <c r="I70" s="270"/>
      <c r="J70" s="270"/>
      <c r="K70" s="270"/>
      <c r="L70" s="270"/>
      <c r="M70" s="270"/>
      <c r="N70" s="254"/>
    </row>
    <row r="71" spans="1:15" x14ac:dyDescent="0.3">
      <c r="A71" s="3"/>
      <c r="B71" s="253" t="s">
        <v>796</v>
      </c>
      <c r="C71" s="270"/>
      <c r="D71" s="270"/>
      <c r="E71" s="270"/>
      <c r="F71" s="254"/>
      <c r="G71" s="83"/>
      <c r="H71" s="83"/>
      <c r="I71" s="83"/>
      <c r="J71" s="83"/>
      <c r="K71" s="83"/>
      <c r="L71" s="83"/>
      <c r="M71" s="83"/>
      <c r="N71" s="83"/>
    </row>
    <row r="72" spans="1:15" ht="48" customHeight="1" x14ac:dyDescent="0.3">
      <c r="A72" s="3"/>
      <c r="B72" s="253" t="s">
        <v>760</v>
      </c>
      <c r="C72" s="270"/>
      <c r="D72" s="270"/>
      <c r="E72" s="270"/>
      <c r="F72" s="254"/>
      <c r="G72" s="83"/>
      <c r="H72" s="83"/>
      <c r="I72" s="83"/>
      <c r="J72" s="83"/>
      <c r="K72" s="83"/>
      <c r="L72" s="83"/>
      <c r="M72" s="83"/>
      <c r="N72" s="83"/>
    </row>
    <row r="73" spans="1:15" x14ac:dyDescent="0.3">
      <c r="A73" s="3"/>
      <c r="B73" s="253" t="s">
        <v>71</v>
      </c>
      <c r="C73" s="270"/>
      <c r="D73" s="270"/>
      <c r="E73" s="270"/>
      <c r="F73" s="254"/>
      <c r="G73" s="83"/>
      <c r="H73" s="83"/>
      <c r="I73" s="83"/>
      <c r="J73" s="83"/>
      <c r="K73" s="83"/>
      <c r="L73" s="83"/>
      <c r="M73" s="83"/>
      <c r="N73" s="83"/>
    </row>
    <row r="74" spans="1:15" x14ac:dyDescent="0.3">
      <c r="A74" s="3"/>
      <c r="B74" s="84"/>
      <c r="C74" s="84"/>
      <c r="D74" s="84"/>
      <c r="E74" s="84"/>
      <c r="F74" s="84"/>
      <c r="G74" s="10"/>
      <c r="H74" s="10"/>
      <c r="I74" s="10"/>
      <c r="J74" s="10"/>
      <c r="K74" s="10"/>
      <c r="L74" s="10"/>
      <c r="M74" s="10"/>
      <c r="N74" s="10"/>
    </row>
    <row r="75" spans="1:15" ht="39" customHeight="1" x14ac:dyDescent="0.3">
      <c r="A75" s="3">
        <v>13</v>
      </c>
      <c r="B75" s="261" t="s">
        <v>51</v>
      </c>
      <c r="C75" s="262"/>
      <c r="D75" s="262"/>
      <c r="E75" s="262"/>
      <c r="F75" s="262"/>
      <c r="G75" s="263"/>
      <c r="H75" s="2"/>
      <c r="I75" s="2"/>
      <c r="J75" s="2"/>
      <c r="K75" s="2"/>
      <c r="L75" s="2"/>
      <c r="M75" s="2"/>
      <c r="N75" s="2"/>
    </row>
    <row r="76" spans="1:15" x14ac:dyDescent="0.3">
      <c r="A76" s="3"/>
      <c r="C76" s="66"/>
      <c r="D76" s="66"/>
      <c r="E76" s="66"/>
      <c r="F76" s="66"/>
      <c r="G76" s="66"/>
      <c r="H76" s="66"/>
      <c r="I76" s="66"/>
      <c r="J76" s="66"/>
      <c r="K76" s="66"/>
      <c r="L76" s="66"/>
      <c r="M76" s="66"/>
      <c r="N76" s="66"/>
    </row>
    <row r="77" spans="1:15" ht="40.799999999999997" x14ac:dyDescent="0.3">
      <c r="A77" s="3"/>
      <c r="B77" s="25" t="s">
        <v>52</v>
      </c>
      <c r="C77" s="25" t="s">
        <v>53</v>
      </c>
      <c r="D77" s="25" t="s">
        <v>259</v>
      </c>
      <c r="E77" s="25" t="s">
        <v>54</v>
      </c>
      <c r="F77" s="25" t="s">
        <v>55</v>
      </c>
      <c r="G77" s="25" t="s">
        <v>56</v>
      </c>
      <c r="H77" s="10"/>
      <c r="I77" s="10"/>
      <c r="J77" s="10"/>
      <c r="K77" s="10"/>
      <c r="L77" s="10"/>
      <c r="M77" s="10"/>
      <c r="N77" s="10"/>
    </row>
    <row r="78" spans="1:15" ht="21" customHeight="1" x14ac:dyDescent="0.3">
      <c r="A78" s="3"/>
      <c r="B78" s="25" t="s">
        <v>72</v>
      </c>
      <c r="C78" s="54" t="s">
        <v>657</v>
      </c>
      <c r="D78" s="134">
        <v>3.37</v>
      </c>
      <c r="E78" s="88">
        <v>4.0999999999999996</v>
      </c>
      <c r="F78" s="88">
        <v>4.99</v>
      </c>
      <c r="G78" s="88">
        <v>6.96</v>
      </c>
    </row>
    <row r="79" spans="1:15" ht="21" customHeight="1" x14ac:dyDescent="0.3">
      <c r="A79" s="3"/>
      <c r="B79" s="25"/>
      <c r="C79" s="54" t="s">
        <v>258</v>
      </c>
      <c r="D79" s="135" t="s">
        <v>121</v>
      </c>
      <c r="E79" s="152" t="s">
        <v>121</v>
      </c>
      <c r="F79" s="152" t="s">
        <v>121</v>
      </c>
      <c r="G79" s="152" t="s">
        <v>121</v>
      </c>
    </row>
    <row r="80" spans="1:15" x14ac:dyDescent="0.3">
      <c r="A80" s="3"/>
      <c r="B80" s="25" t="s">
        <v>59</v>
      </c>
      <c r="C80" s="54" t="s">
        <v>290</v>
      </c>
      <c r="D80" s="153">
        <f>63/D78</f>
        <v>18.694362017804153</v>
      </c>
      <c r="E80" s="88">
        <v>22.7</v>
      </c>
      <c r="F80" s="90">
        <f>O80/F78</f>
        <v>24.749498997995993</v>
      </c>
      <c r="G80" s="90">
        <f>342.3/G78</f>
        <v>49.181034482758619</v>
      </c>
      <c r="O80" s="1">
        <v>123.5</v>
      </c>
    </row>
    <row r="81" spans="1:17" ht="42" x14ac:dyDescent="0.3">
      <c r="A81" s="3"/>
      <c r="B81" s="25"/>
      <c r="C81" s="54" t="s">
        <v>258</v>
      </c>
      <c r="D81" s="135" t="s">
        <v>121</v>
      </c>
      <c r="E81" s="152" t="s">
        <v>121</v>
      </c>
      <c r="F81" s="152" t="s">
        <v>121</v>
      </c>
      <c r="G81" s="88"/>
      <c r="O81" s="1" t="s">
        <v>658</v>
      </c>
      <c r="P81" s="1" t="s">
        <v>645</v>
      </c>
    </row>
    <row r="82" spans="1:17" x14ac:dyDescent="0.3">
      <c r="A82" s="3"/>
      <c r="B82" s="25" t="s">
        <v>60</v>
      </c>
      <c r="C82" s="54" t="s">
        <v>290</v>
      </c>
      <c r="D82" s="142">
        <v>0.13869999999999999</v>
      </c>
      <c r="E82" s="110">
        <v>0.1157</v>
      </c>
      <c r="F82" s="110">
        <f>O82/P82</f>
        <v>8.6657431228972889E-2</v>
      </c>
      <c r="G82" s="110">
        <v>8.1900000000000001E-2</v>
      </c>
      <c r="O82" s="1">
        <v>547.35</v>
      </c>
      <c r="P82" s="58">
        <v>6316.25</v>
      </c>
      <c r="Q82" s="1">
        <v>631625000</v>
      </c>
    </row>
    <row r="83" spans="1:17" x14ac:dyDescent="0.3">
      <c r="A83" s="3"/>
      <c r="B83" s="25"/>
      <c r="C83" s="54" t="s">
        <v>258</v>
      </c>
      <c r="D83" s="135" t="s">
        <v>121</v>
      </c>
      <c r="E83" s="152" t="s">
        <v>121</v>
      </c>
      <c r="F83" s="152" t="s">
        <v>121</v>
      </c>
      <c r="G83" s="152" t="s">
        <v>121</v>
      </c>
    </row>
    <row r="84" spans="1:17" x14ac:dyDescent="0.3">
      <c r="A84" s="3"/>
      <c r="B84" s="25" t="s">
        <v>61</v>
      </c>
      <c r="C84" s="54" t="s">
        <v>290</v>
      </c>
      <c r="D84" s="135">
        <v>24.28</v>
      </c>
      <c r="E84" s="110">
        <v>0.3538</v>
      </c>
      <c r="F84" s="90">
        <f>Q82/O84</f>
        <v>57.571354298831267</v>
      </c>
      <c r="G84" s="88">
        <v>85</v>
      </c>
      <c r="O84" s="1">
        <v>10971168</v>
      </c>
    </row>
    <row r="85" spans="1:17" x14ac:dyDescent="0.3">
      <c r="A85" s="3"/>
      <c r="B85" s="54"/>
      <c r="C85" s="54" t="s">
        <v>258</v>
      </c>
      <c r="D85" s="135" t="s">
        <v>121</v>
      </c>
      <c r="E85" s="152" t="s">
        <v>121</v>
      </c>
      <c r="F85" s="152" t="s">
        <v>121</v>
      </c>
      <c r="G85" s="152" t="s">
        <v>121</v>
      </c>
    </row>
    <row r="86" spans="1:17" x14ac:dyDescent="0.3">
      <c r="A86" s="3"/>
      <c r="B86" s="102"/>
      <c r="C86" s="103"/>
      <c r="D86" s="103"/>
      <c r="E86" s="103"/>
      <c r="F86" s="103"/>
      <c r="G86" s="104"/>
    </row>
    <row r="87" spans="1:17" x14ac:dyDescent="0.3">
      <c r="A87" s="3"/>
      <c r="B87" s="301" t="s">
        <v>291</v>
      </c>
      <c r="C87" s="302"/>
      <c r="D87" s="302"/>
      <c r="E87" s="302"/>
      <c r="F87" s="302"/>
      <c r="G87" s="303"/>
    </row>
    <row r="88" spans="1:17" s="2" customFormat="1" x14ac:dyDescent="0.3">
      <c r="B88" s="253" t="s">
        <v>82</v>
      </c>
      <c r="C88" s="270"/>
      <c r="D88" s="270"/>
      <c r="E88" s="270"/>
      <c r="F88" s="270"/>
      <c r="G88" s="254"/>
    </row>
    <row r="89" spans="1:17" s="2" customFormat="1" ht="28.5" customHeight="1" x14ac:dyDescent="0.3">
      <c r="B89" s="443" t="s">
        <v>761</v>
      </c>
      <c r="C89" s="444"/>
      <c r="D89" s="444"/>
      <c r="E89" s="444"/>
      <c r="F89" s="444"/>
      <c r="G89" s="196"/>
    </row>
    <row r="90" spans="1:17" x14ac:dyDescent="0.3">
      <c r="A90" s="3"/>
      <c r="B90" s="253" t="s">
        <v>276</v>
      </c>
      <c r="C90" s="270"/>
      <c r="D90" s="270"/>
      <c r="E90" s="270"/>
      <c r="F90" s="270"/>
      <c r="G90" s="254"/>
    </row>
    <row r="91" spans="1:17" x14ac:dyDescent="0.3">
      <c r="C91" s="402"/>
      <c r="D91" s="402"/>
      <c r="E91" s="402"/>
      <c r="F91" s="402"/>
      <c r="G91" s="402"/>
    </row>
    <row r="92" spans="1:17" x14ac:dyDescent="0.3">
      <c r="A92" s="3">
        <v>14</v>
      </c>
      <c r="B92" s="54" t="s">
        <v>63</v>
      </c>
      <c r="C92" s="307" t="s">
        <v>50</v>
      </c>
      <c r="D92" s="308"/>
      <c r="E92" s="308"/>
      <c r="F92" s="308"/>
      <c r="G92" s="249"/>
    </row>
    <row r="93" spans="1:17" x14ac:dyDescent="0.3">
      <c r="C93" s="55"/>
      <c r="D93" s="55"/>
      <c r="E93" s="55"/>
      <c r="F93" s="55"/>
      <c r="G93" s="55"/>
    </row>
    <row r="94" spans="1:17" x14ac:dyDescent="0.3">
      <c r="B94" s="299" t="s">
        <v>281</v>
      </c>
      <c r="C94" s="299"/>
      <c r="D94" s="299"/>
      <c r="E94" s="299"/>
      <c r="F94" s="299"/>
      <c r="G94" s="299"/>
      <c r="H94" s="299"/>
    </row>
    <row r="99" spans="4:5" x14ac:dyDescent="0.3">
      <c r="D99" s="56"/>
      <c r="E99" s="56"/>
    </row>
    <row r="100" spans="4:5" x14ac:dyDescent="0.3">
      <c r="E100" s="56"/>
    </row>
  </sheetData>
  <mergeCells count="56">
    <mergeCell ref="B73:F73"/>
    <mergeCell ref="B75:G75"/>
    <mergeCell ref="B94:H94"/>
    <mergeCell ref="B87:G87"/>
    <mergeCell ref="B88:G88"/>
    <mergeCell ref="B90:G90"/>
    <mergeCell ref="C91:G91"/>
    <mergeCell ref="C92:G92"/>
    <mergeCell ref="B89:F89"/>
    <mergeCell ref="L66:N66"/>
    <mergeCell ref="B70:N70"/>
    <mergeCell ref="I66:K66"/>
    <mergeCell ref="B72:F72"/>
    <mergeCell ref="B71:F71"/>
    <mergeCell ref="B66:B67"/>
    <mergeCell ref="C66:C67"/>
    <mergeCell ref="D66:D67"/>
    <mergeCell ref="E66:E67"/>
    <mergeCell ref="F66:H66"/>
    <mergeCell ref="C62:E62"/>
    <mergeCell ref="C44:E44"/>
    <mergeCell ref="B45:E45"/>
    <mergeCell ref="B47:E47"/>
    <mergeCell ref="B50:E50"/>
    <mergeCell ref="B53:E53"/>
    <mergeCell ref="B54:B55"/>
    <mergeCell ref="C54:E55"/>
    <mergeCell ref="C56:E56"/>
    <mergeCell ref="C57:E57"/>
    <mergeCell ref="B58:E58"/>
    <mergeCell ref="C60:E60"/>
    <mergeCell ref="C61:E61"/>
    <mergeCell ref="C43:E43"/>
    <mergeCell ref="C22:E22"/>
    <mergeCell ref="C23:E23"/>
    <mergeCell ref="C24:E24"/>
    <mergeCell ref="B26:E26"/>
    <mergeCell ref="B27:E27"/>
    <mergeCell ref="B33:E33"/>
    <mergeCell ref="B35:E35"/>
    <mergeCell ref="B39:D39"/>
    <mergeCell ref="B41:E41"/>
    <mergeCell ref="C42:E42"/>
    <mergeCell ref="B25:E25"/>
    <mergeCell ref="C21:E21"/>
    <mergeCell ref="A1:B1"/>
    <mergeCell ref="C5:E5"/>
    <mergeCell ref="B6:D6"/>
    <mergeCell ref="B9:D9"/>
    <mergeCell ref="C11:E11"/>
    <mergeCell ref="B12:D12"/>
    <mergeCell ref="C14:E14"/>
    <mergeCell ref="B15:D15"/>
    <mergeCell ref="B17:C17"/>
    <mergeCell ref="B19:E19"/>
    <mergeCell ref="C20:E20"/>
  </mergeCells>
  <pageMargins left="0.70866141732283472" right="0.70866141732283472" top="0.74803149606299213" bottom="0.74803149606299213" header="0.31496062992125984" footer="0.31496062992125984"/>
  <pageSetup paperSize="9" scale="30" fitToWidth="70" fitToHeight="2" orientation="landscape" horizontalDpi="4294967292"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ACF5E-BF1F-405A-97B0-83992982D348}">
  <sheetPr>
    <pageSetUpPr fitToPage="1"/>
  </sheetPr>
  <dimension ref="A1:N111"/>
  <sheetViews>
    <sheetView topLeftCell="B76" zoomScale="60" zoomScaleNormal="57" workbookViewId="0">
      <selection activeCell="G98" sqref="G98"/>
    </sheetView>
  </sheetViews>
  <sheetFormatPr defaultColWidth="8.6640625" defaultRowHeight="21" x14ac:dyDescent="0.3"/>
  <cols>
    <col min="1" max="1" width="8.6640625" style="1"/>
    <col min="2" max="2" width="58.33203125" style="1" customWidth="1"/>
    <col min="3" max="3" width="81" style="1" customWidth="1"/>
    <col min="4" max="4" width="73.109375" style="1" customWidth="1"/>
    <col min="5" max="5" width="44.33203125" style="1" customWidth="1"/>
    <col min="6" max="7" width="12" style="1" customWidth="1"/>
    <col min="8" max="8" width="22.6640625" style="1" customWidth="1"/>
    <col min="9" max="9" width="14.5546875" style="1" customWidth="1"/>
    <col min="10" max="10" width="12.33203125" style="1" customWidth="1"/>
    <col min="11" max="11" width="13.33203125" style="1" customWidth="1"/>
    <col min="12" max="14" width="12.88671875" style="1" bestFit="1" customWidth="1"/>
    <col min="15" max="16384" width="8.6640625" style="1"/>
  </cols>
  <sheetData>
    <row r="1" spans="1:5" ht="20.25" customHeight="1" x14ac:dyDescent="0.3">
      <c r="A1" s="246" t="s">
        <v>0</v>
      </c>
      <c r="B1" s="246"/>
      <c r="D1" s="2"/>
    </row>
    <row r="3" spans="1:5" ht="40.799999999999997" x14ac:dyDescent="0.3">
      <c r="A3" s="3" t="s">
        <v>1</v>
      </c>
      <c r="B3" s="54" t="s">
        <v>2</v>
      </c>
      <c r="C3" s="5" t="s">
        <v>282</v>
      </c>
    </row>
    <row r="4" spans="1:5" x14ac:dyDescent="0.3">
      <c r="D4" s="22"/>
    </row>
    <row r="5" spans="1:5" x14ac:dyDescent="0.3">
      <c r="A5" s="62">
        <v>1</v>
      </c>
      <c r="B5" s="63" t="s">
        <v>3</v>
      </c>
      <c r="C5" s="247" t="s">
        <v>799</v>
      </c>
      <c r="D5" s="248"/>
      <c r="E5" s="249"/>
    </row>
    <row r="6" spans="1:5" x14ac:dyDescent="0.3">
      <c r="A6" s="3"/>
      <c r="B6" s="250" t="s">
        <v>4</v>
      </c>
      <c r="C6" s="251"/>
      <c r="D6" s="252"/>
      <c r="E6" s="10"/>
    </row>
    <row r="7" spans="1:5" x14ac:dyDescent="0.3">
      <c r="A7" s="3"/>
      <c r="B7" s="2"/>
      <c r="D7" s="22"/>
    </row>
    <row r="8" spans="1:5" x14ac:dyDescent="0.3">
      <c r="A8" s="3">
        <v>2</v>
      </c>
      <c r="B8" s="63" t="s">
        <v>5</v>
      </c>
      <c r="C8" s="12" t="s">
        <v>285</v>
      </c>
      <c r="D8" s="22"/>
    </row>
    <row r="9" spans="1:5" x14ac:dyDescent="0.3">
      <c r="A9" s="3"/>
      <c r="B9" s="250" t="s">
        <v>4</v>
      </c>
      <c r="C9" s="251"/>
      <c r="D9" s="252"/>
    </row>
    <row r="10" spans="1:5" x14ac:dyDescent="0.3">
      <c r="A10" s="3"/>
      <c r="B10" s="2"/>
      <c r="D10" s="22"/>
    </row>
    <row r="11" spans="1:5" ht="40.950000000000003" customHeight="1" x14ac:dyDescent="0.3">
      <c r="A11" s="3">
        <v>3</v>
      </c>
      <c r="B11" s="63" t="s">
        <v>6</v>
      </c>
      <c r="C11" s="247" t="s">
        <v>90</v>
      </c>
      <c r="D11" s="248"/>
      <c r="E11" s="249"/>
    </row>
    <row r="12" spans="1:5" x14ac:dyDescent="0.3">
      <c r="A12" s="3"/>
      <c r="B12" s="250" t="s">
        <v>4</v>
      </c>
      <c r="C12" s="251"/>
      <c r="D12" s="252"/>
      <c r="E12" s="10"/>
    </row>
    <row r="13" spans="1:5" x14ac:dyDescent="0.3">
      <c r="A13" s="3"/>
      <c r="B13" s="2"/>
      <c r="D13" s="22"/>
    </row>
    <row r="14" spans="1:5" x14ac:dyDescent="0.3">
      <c r="A14" s="3">
        <v>4</v>
      </c>
      <c r="B14" s="54" t="s">
        <v>92</v>
      </c>
      <c r="C14" s="247" t="s">
        <v>90</v>
      </c>
      <c r="D14" s="248"/>
      <c r="E14" s="249"/>
    </row>
    <row r="15" spans="1:5" x14ac:dyDescent="0.3">
      <c r="A15" s="3"/>
      <c r="B15" s="250" t="s">
        <v>4</v>
      </c>
      <c r="C15" s="251"/>
      <c r="D15" s="252"/>
    </row>
    <row r="16" spans="1:5" x14ac:dyDescent="0.3">
      <c r="A16" s="3">
        <v>4</v>
      </c>
      <c r="B16" s="54" t="s">
        <v>7</v>
      </c>
      <c r="C16" s="5" t="s">
        <v>286</v>
      </c>
      <c r="D16" s="22"/>
    </row>
    <row r="17" spans="1:14" x14ac:dyDescent="0.3">
      <c r="A17" s="3"/>
      <c r="B17" s="253" t="s">
        <v>8</v>
      </c>
      <c r="C17" s="254"/>
      <c r="D17" s="22"/>
    </row>
    <row r="18" spans="1:14" x14ac:dyDescent="0.3">
      <c r="A18" s="3"/>
      <c r="D18" s="22"/>
    </row>
    <row r="19" spans="1:14" x14ac:dyDescent="0.3">
      <c r="A19" s="3">
        <v>5</v>
      </c>
      <c r="B19" s="255" t="s">
        <v>9</v>
      </c>
      <c r="C19" s="256"/>
      <c r="D19" s="256"/>
      <c r="E19" s="257"/>
      <c r="F19" s="2"/>
      <c r="G19" s="2"/>
      <c r="H19" s="2"/>
      <c r="I19" s="2"/>
      <c r="J19" s="10"/>
      <c r="K19" s="10"/>
      <c r="L19" s="10"/>
      <c r="M19" s="10"/>
      <c r="N19" s="10"/>
    </row>
    <row r="20" spans="1:14" x14ac:dyDescent="0.3">
      <c r="A20" s="3"/>
      <c r="B20" s="65" t="s">
        <v>10</v>
      </c>
      <c r="C20" s="243" t="s">
        <v>11</v>
      </c>
      <c r="D20" s="244"/>
      <c r="E20" s="245"/>
      <c r="F20" s="66"/>
      <c r="G20" s="10"/>
      <c r="H20" s="10"/>
      <c r="I20" s="10"/>
      <c r="J20" s="10"/>
      <c r="K20" s="10"/>
      <c r="L20" s="10"/>
      <c r="M20" s="10"/>
      <c r="N20" s="10"/>
    </row>
    <row r="21" spans="1:14" ht="61.2" x14ac:dyDescent="0.3">
      <c r="A21" s="3"/>
      <c r="B21" s="65" t="s">
        <v>242</v>
      </c>
      <c r="C21" s="243" t="s">
        <v>11</v>
      </c>
      <c r="D21" s="244"/>
      <c r="E21" s="245"/>
      <c r="F21" s="66"/>
      <c r="G21" s="10"/>
      <c r="I21" s="10"/>
      <c r="J21" s="10"/>
      <c r="K21" s="10"/>
      <c r="L21" s="10"/>
      <c r="M21" s="10"/>
      <c r="N21" s="10"/>
    </row>
    <row r="22" spans="1:14" x14ac:dyDescent="0.3">
      <c r="A22" s="3"/>
      <c r="B22" s="65" t="s">
        <v>243</v>
      </c>
      <c r="C22" s="243" t="s">
        <v>11</v>
      </c>
      <c r="D22" s="244"/>
      <c r="E22" s="245"/>
      <c r="F22" s="66"/>
      <c r="G22" s="10"/>
      <c r="H22" s="10"/>
      <c r="I22" s="10"/>
      <c r="J22" s="10"/>
      <c r="K22" s="10"/>
      <c r="L22" s="10"/>
      <c r="M22" s="10"/>
      <c r="N22" s="10"/>
    </row>
    <row r="23" spans="1:14" x14ac:dyDescent="0.3">
      <c r="A23" s="3"/>
      <c r="B23" s="64" t="s">
        <v>252</v>
      </c>
      <c r="C23" s="243" t="s">
        <v>11</v>
      </c>
      <c r="D23" s="244"/>
      <c r="E23" s="245"/>
      <c r="F23" s="66"/>
      <c r="G23" s="10"/>
      <c r="H23" s="10"/>
      <c r="I23" s="10"/>
      <c r="J23" s="10"/>
      <c r="K23" s="10"/>
      <c r="L23" s="10"/>
      <c r="M23" s="10"/>
      <c r="N23" s="10"/>
    </row>
    <row r="24" spans="1:14" x14ac:dyDescent="0.3">
      <c r="A24" s="3"/>
      <c r="B24" s="67" t="s">
        <v>253</v>
      </c>
      <c r="C24" s="243" t="s">
        <v>11</v>
      </c>
      <c r="D24" s="244"/>
      <c r="E24" s="245"/>
      <c r="F24" s="66"/>
      <c r="G24" s="10"/>
      <c r="H24" s="10"/>
      <c r="I24" s="10"/>
      <c r="J24" s="10"/>
      <c r="K24" s="10"/>
      <c r="L24" s="10"/>
      <c r="M24" s="10"/>
      <c r="N24" s="10"/>
    </row>
    <row r="25" spans="1:14" ht="40.5" customHeight="1" x14ac:dyDescent="0.3">
      <c r="A25" s="3"/>
      <c r="B25" s="262" t="s">
        <v>793</v>
      </c>
      <c r="C25" s="262"/>
      <c r="D25" s="262"/>
      <c r="E25" s="262"/>
      <c r="F25" s="66"/>
      <c r="G25" s="10"/>
      <c r="H25" s="10"/>
      <c r="I25" s="10"/>
      <c r="J25" s="10"/>
      <c r="K25" s="10"/>
      <c r="L25" s="10"/>
      <c r="M25" s="10"/>
      <c r="N25" s="10"/>
    </row>
    <row r="26" spans="1:14" x14ac:dyDescent="0.3">
      <c r="A26" s="3">
        <v>6</v>
      </c>
      <c r="B26" s="261" t="s">
        <v>74</v>
      </c>
      <c r="C26" s="262"/>
      <c r="D26" s="262"/>
      <c r="E26" s="263"/>
      <c r="F26" s="2"/>
      <c r="G26" s="2"/>
      <c r="H26" s="10"/>
      <c r="I26" s="2"/>
      <c r="J26" s="2"/>
    </row>
    <row r="27" spans="1:14" x14ac:dyDescent="0.3">
      <c r="A27" s="3"/>
      <c r="B27" s="264" t="s">
        <v>17</v>
      </c>
      <c r="C27" s="265"/>
      <c r="D27" s="265"/>
      <c r="E27" s="266"/>
      <c r="F27" s="66"/>
    </row>
    <row r="28" spans="1:14" x14ac:dyDescent="0.3">
      <c r="A28" s="3"/>
      <c r="B28" s="67" t="s">
        <v>18</v>
      </c>
      <c r="C28" s="25" t="s">
        <v>244</v>
      </c>
      <c r="D28" s="25" t="s">
        <v>245</v>
      </c>
      <c r="E28" s="25" t="s">
        <v>246</v>
      </c>
      <c r="F28" s="66"/>
    </row>
    <row r="29" spans="1:14" ht="20.7" customHeight="1" x14ac:dyDescent="0.3">
      <c r="A29" s="3"/>
      <c r="B29" s="68" t="s">
        <v>21</v>
      </c>
      <c r="C29" s="27">
        <v>8423.24</v>
      </c>
      <c r="D29" s="127">
        <v>9819.7099999999991</v>
      </c>
      <c r="E29" s="27">
        <v>10514.55</v>
      </c>
      <c r="F29" s="66"/>
    </row>
    <row r="30" spans="1:14" x14ac:dyDescent="0.3">
      <c r="A30" s="3"/>
      <c r="B30" s="68" t="s">
        <v>23</v>
      </c>
      <c r="C30" s="27">
        <v>300.25</v>
      </c>
      <c r="D30" s="27">
        <v>786.09</v>
      </c>
      <c r="E30" s="27">
        <v>777.32</v>
      </c>
      <c r="F30" s="66"/>
    </row>
    <row r="31" spans="1:14" x14ac:dyDescent="0.3">
      <c r="A31" s="3"/>
      <c r="B31" s="68" t="s">
        <v>24</v>
      </c>
      <c r="C31" s="27">
        <v>1027.2</v>
      </c>
      <c r="D31" s="127">
        <v>1027.2</v>
      </c>
      <c r="E31" s="127">
        <v>1027.2</v>
      </c>
      <c r="F31" s="66"/>
      <c r="H31" s="194"/>
    </row>
    <row r="32" spans="1:14" x14ac:dyDescent="0.3">
      <c r="A32" s="3"/>
      <c r="B32" s="68" t="s">
        <v>25</v>
      </c>
      <c r="C32" s="27">
        <v>2221.4499999999998</v>
      </c>
      <c r="D32" s="127">
        <v>3007.54</v>
      </c>
      <c r="E32" s="127">
        <v>3771.74</v>
      </c>
      <c r="F32" s="66"/>
    </row>
    <row r="33" spans="1:10" x14ac:dyDescent="0.3">
      <c r="A33" s="3"/>
      <c r="B33" s="253" t="s">
        <v>800</v>
      </c>
      <c r="C33" s="270"/>
      <c r="D33" s="270"/>
      <c r="E33" s="254"/>
      <c r="F33" s="66"/>
    </row>
    <row r="34" spans="1:10" x14ac:dyDescent="0.3">
      <c r="A34" s="3"/>
      <c r="B34" s="10"/>
      <c r="C34" s="66"/>
      <c r="D34" s="66"/>
      <c r="E34" s="66"/>
      <c r="F34" s="66"/>
    </row>
    <row r="35" spans="1:10" ht="41.7" customHeight="1" x14ac:dyDescent="0.3">
      <c r="A35" s="3">
        <v>7</v>
      </c>
      <c r="B35" s="261" t="s">
        <v>26</v>
      </c>
      <c r="C35" s="262"/>
      <c r="D35" s="256"/>
      <c r="E35" s="257"/>
      <c r="F35" s="2"/>
      <c r="G35" s="2"/>
      <c r="H35" s="2"/>
      <c r="I35" s="2"/>
      <c r="J35" s="2"/>
    </row>
    <row r="36" spans="1:10" x14ac:dyDescent="0.3">
      <c r="A36" s="3"/>
      <c r="B36" s="67" t="s">
        <v>247</v>
      </c>
      <c r="C36" s="27" t="s">
        <v>86</v>
      </c>
      <c r="F36" s="10"/>
    </row>
    <row r="37" spans="1:10" x14ac:dyDescent="0.3">
      <c r="A37" s="3"/>
      <c r="B37" s="67" t="s">
        <v>28</v>
      </c>
      <c r="C37" s="27" t="s">
        <v>86</v>
      </c>
      <c r="D37" s="10"/>
      <c r="E37" s="10"/>
      <c r="F37" s="10"/>
    </row>
    <row r="38" spans="1:10" x14ac:dyDescent="0.3">
      <c r="A38" s="3"/>
      <c r="B38" s="67" t="s">
        <v>29</v>
      </c>
      <c r="C38" s="27" t="s">
        <v>86</v>
      </c>
      <c r="D38" s="10"/>
      <c r="E38" s="10"/>
      <c r="F38" s="10"/>
    </row>
    <row r="39" spans="1:10" ht="42" customHeight="1" x14ac:dyDescent="0.3">
      <c r="A39" s="3"/>
      <c r="B39" s="271" t="s">
        <v>284</v>
      </c>
      <c r="C39" s="271"/>
      <c r="D39" s="271"/>
      <c r="E39" s="10"/>
      <c r="F39" s="10"/>
    </row>
    <row r="40" spans="1:10" x14ac:dyDescent="0.3">
      <c r="A40" s="3"/>
      <c r="B40" s="66"/>
      <c r="C40" s="10"/>
      <c r="D40" s="10"/>
      <c r="E40" s="10"/>
      <c r="F40" s="10"/>
    </row>
    <row r="41" spans="1:10" x14ac:dyDescent="0.3">
      <c r="A41" s="3">
        <v>8</v>
      </c>
      <c r="B41" s="261" t="s">
        <v>30</v>
      </c>
      <c r="C41" s="262"/>
      <c r="D41" s="262"/>
      <c r="E41" s="263"/>
      <c r="F41" s="2"/>
      <c r="G41" s="2"/>
      <c r="H41" s="2"/>
      <c r="I41" s="2"/>
      <c r="J41" s="2"/>
    </row>
    <row r="42" spans="1:10" x14ac:dyDescent="0.3">
      <c r="A42" s="3"/>
      <c r="B42" s="67" t="s">
        <v>31</v>
      </c>
      <c r="C42" s="258" t="s">
        <v>85</v>
      </c>
      <c r="D42" s="259"/>
      <c r="E42" s="260"/>
      <c r="F42" s="10"/>
    </row>
    <row r="43" spans="1:10" x14ac:dyDescent="0.3">
      <c r="A43" s="3"/>
      <c r="B43" s="67" t="s">
        <v>28</v>
      </c>
      <c r="C43" s="258" t="s">
        <v>85</v>
      </c>
      <c r="D43" s="259"/>
      <c r="E43" s="260"/>
      <c r="F43" s="10"/>
    </row>
    <row r="44" spans="1:10" x14ac:dyDescent="0.3">
      <c r="A44" s="3"/>
      <c r="B44" s="67" t="s">
        <v>29</v>
      </c>
      <c r="C44" s="258" t="s">
        <v>905</v>
      </c>
      <c r="D44" s="259"/>
      <c r="E44" s="260"/>
      <c r="F44" s="10"/>
    </row>
    <row r="45" spans="1:10" x14ac:dyDescent="0.3">
      <c r="A45" s="3"/>
      <c r="B45" s="253" t="s">
        <v>198</v>
      </c>
      <c r="C45" s="270"/>
      <c r="D45" s="270"/>
      <c r="E45" s="254"/>
      <c r="F45" s="10"/>
    </row>
    <row r="46" spans="1:10" x14ac:dyDescent="0.3">
      <c r="A46" s="3"/>
      <c r="D46" s="22"/>
      <c r="E46" s="10"/>
    </row>
    <row r="47" spans="1:10" ht="83.4" customHeight="1" x14ac:dyDescent="0.3">
      <c r="A47" s="191">
        <v>9</v>
      </c>
      <c r="B47" s="262" t="s">
        <v>32</v>
      </c>
      <c r="C47" s="262"/>
      <c r="D47" s="262"/>
      <c r="E47" s="263"/>
      <c r="F47" s="2"/>
      <c r="G47" s="2"/>
      <c r="H47" s="2"/>
      <c r="I47" s="2"/>
    </row>
    <row r="48" spans="1:10" ht="40.799999999999997" x14ac:dyDescent="0.3">
      <c r="A48" s="191"/>
      <c r="B48" s="24" t="s">
        <v>33</v>
      </c>
      <c r="C48" s="25" t="s">
        <v>34</v>
      </c>
      <c r="D48" s="25" t="s">
        <v>524</v>
      </c>
      <c r="E48" s="25" t="s">
        <v>35</v>
      </c>
    </row>
    <row r="49" spans="1:14" ht="166.2" customHeight="1" x14ac:dyDescent="0.3">
      <c r="A49" s="191"/>
      <c r="B49" s="189" t="s">
        <v>261</v>
      </c>
      <c r="C49" s="27" t="s">
        <v>287</v>
      </c>
      <c r="D49" s="27" t="s">
        <v>591</v>
      </c>
      <c r="E49" s="27" t="s">
        <v>50</v>
      </c>
    </row>
    <row r="50" spans="1:14" x14ac:dyDescent="0.3">
      <c r="A50" s="191"/>
      <c r="B50" s="270"/>
      <c r="C50" s="410"/>
      <c r="D50" s="410"/>
      <c r="E50" s="411"/>
    </row>
    <row r="51" spans="1:14" hidden="1" x14ac:dyDescent="0.3">
      <c r="A51" s="191"/>
      <c r="B51" s="103" t="s">
        <v>707</v>
      </c>
      <c r="C51" s="87"/>
      <c r="D51" s="87"/>
      <c r="E51" s="87"/>
    </row>
    <row r="52" spans="1:14" x14ac:dyDescent="0.3">
      <c r="A52" s="191"/>
      <c r="B52" s="28"/>
      <c r="C52" s="22"/>
      <c r="D52" s="22"/>
      <c r="E52" s="22"/>
      <c r="F52" s="66"/>
      <c r="G52" s="66"/>
      <c r="H52" s="66"/>
      <c r="I52" s="66"/>
    </row>
    <row r="53" spans="1:14" ht="43.2" customHeight="1" x14ac:dyDescent="0.3">
      <c r="A53" s="191">
        <v>10</v>
      </c>
      <c r="B53" s="262" t="s">
        <v>32</v>
      </c>
      <c r="C53" s="262"/>
      <c r="D53" s="262"/>
      <c r="E53" s="263"/>
      <c r="F53" s="66"/>
      <c r="G53" s="66"/>
      <c r="H53" s="66"/>
    </row>
    <row r="54" spans="1:14" x14ac:dyDescent="0.3">
      <c r="A54" s="191"/>
      <c r="B54" s="275" t="s">
        <v>36</v>
      </c>
      <c r="C54" s="277" t="s">
        <v>287</v>
      </c>
      <c r="D54" s="278"/>
      <c r="E54" s="279"/>
      <c r="K54" s="2"/>
    </row>
    <row r="55" spans="1:14" ht="100.2" customHeight="1" x14ac:dyDescent="0.3">
      <c r="A55" s="191"/>
      <c r="B55" s="276"/>
      <c r="C55" s="280"/>
      <c r="D55" s="281"/>
      <c r="E55" s="282"/>
      <c r="K55" s="2"/>
    </row>
    <row r="56" spans="1:14" ht="123.6" customHeight="1" x14ac:dyDescent="0.3">
      <c r="A56" s="191"/>
      <c r="B56" s="29" t="s">
        <v>37</v>
      </c>
      <c r="C56" s="283" t="s">
        <v>591</v>
      </c>
      <c r="D56" s="284"/>
      <c r="E56" s="285"/>
    </row>
    <row r="57" spans="1:14" x14ac:dyDescent="0.3">
      <c r="A57" s="191"/>
      <c r="B57" s="29" t="s">
        <v>38</v>
      </c>
      <c r="C57" s="286" t="s">
        <v>232</v>
      </c>
      <c r="D57" s="287"/>
      <c r="E57" s="288"/>
      <c r="K57" s="30"/>
    </row>
    <row r="58" spans="1:14" s="32" customFormat="1" x14ac:dyDescent="0.4">
      <c r="A58" s="111" t="s">
        <v>39</v>
      </c>
      <c r="B58" s="290" t="s">
        <v>888</v>
      </c>
      <c r="C58" s="290"/>
      <c r="D58" s="290"/>
      <c r="E58" s="291"/>
    </row>
    <row r="59" spans="1:14" x14ac:dyDescent="0.3">
      <c r="A59" s="71"/>
      <c r="B59" s="72"/>
      <c r="C59" s="73"/>
      <c r="D59" s="73"/>
      <c r="E59" s="73"/>
      <c r="F59" s="73"/>
    </row>
    <row r="60" spans="1:14" x14ac:dyDescent="0.3">
      <c r="A60" s="3">
        <v>11</v>
      </c>
      <c r="B60" s="54" t="s">
        <v>41</v>
      </c>
      <c r="C60" s="270" t="s">
        <v>121</v>
      </c>
      <c r="D60" s="270"/>
      <c r="E60" s="270"/>
      <c r="F60" s="2"/>
      <c r="G60" s="2"/>
      <c r="H60" s="74"/>
      <c r="I60" s="2"/>
      <c r="J60" s="2"/>
    </row>
    <row r="61" spans="1:14" ht="20.7" customHeight="1" x14ac:dyDescent="0.3">
      <c r="A61" s="3"/>
      <c r="B61" s="66"/>
      <c r="C61" s="270"/>
      <c r="D61" s="270"/>
      <c r="E61" s="270"/>
      <c r="F61" s="66"/>
      <c r="G61" s="66"/>
      <c r="H61" s="75"/>
      <c r="I61" s="75"/>
      <c r="J61" s="66"/>
    </row>
    <row r="62" spans="1:14" s="42" customFormat="1" x14ac:dyDescent="0.3">
      <c r="A62" s="76">
        <v>12</v>
      </c>
      <c r="B62" s="77" t="s">
        <v>42</v>
      </c>
      <c r="C62" s="272"/>
      <c r="D62" s="273"/>
      <c r="E62" s="274"/>
      <c r="F62" s="78"/>
      <c r="G62" s="79"/>
      <c r="H62" s="79"/>
      <c r="I62" s="79"/>
      <c r="J62" s="79"/>
      <c r="K62" s="79"/>
      <c r="L62" s="79"/>
      <c r="M62" s="79"/>
      <c r="N62" s="79"/>
    </row>
    <row r="63" spans="1:14" x14ac:dyDescent="0.3">
      <c r="A63" s="3"/>
      <c r="B63" s="2"/>
      <c r="C63" s="2"/>
      <c r="D63" s="2"/>
      <c r="E63" s="74"/>
      <c r="F63" s="74"/>
      <c r="G63" s="74"/>
      <c r="H63" s="2"/>
      <c r="I63" s="2"/>
      <c r="J63" s="2"/>
      <c r="K63" s="2"/>
      <c r="L63" s="2"/>
      <c r="M63" s="2"/>
      <c r="N63" s="2"/>
    </row>
    <row r="64" spans="1:14" x14ac:dyDescent="0.3">
      <c r="A64" s="3"/>
      <c r="B64" s="67" t="s">
        <v>43</v>
      </c>
      <c r="C64" s="68" t="s">
        <v>288</v>
      </c>
      <c r="D64" s="66"/>
      <c r="E64" s="66"/>
      <c r="F64" s="75"/>
      <c r="G64" s="75"/>
      <c r="H64" s="66"/>
      <c r="I64" s="66"/>
      <c r="J64" s="66"/>
      <c r="K64" s="66"/>
      <c r="L64" s="66"/>
      <c r="M64" s="66"/>
      <c r="N64" s="66"/>
    </row>
    <row r="65" spans="1:14" x14ac:dyDescent="0.3">
      <c r="A65" s="3"/>
      <c r="B65" s="66"/>
      <c r="C65" s="66"/>
      <c r="D65" s="66"/>
      <c r="E65" s="66"/>
      <c r="F65" s="66"/>
      <c r="G65" s="66"/>
      <c r="H65" s="66"/>
      <c r="I65" s="66"/>
      <c r="J65" s="66"/>
      <c r="K65" s="66"/>
      <c r="L65" s="66"/>
      <c r="M65" s="66"/>
      <c r="N65" s="66"/>
    </row>
    <row r="66" spans="1:14" ht="87.6" customHeight="1" x14ac:dyDescent="0.3">
      <c r="A66" s="3"/>
      <c r="B66" s="295" t="s">
        <v>44</v>
      </c>
      <c r="C66" s="295" t="s">
        <v>289</v>
      </c>
      <c r="D66" s="295" t="s">
        <v>68</v>
      </c>
      <c r="E66" s="297" t="s">
        <v>45</v>
      </c>
      <c r="F66" s="292" t="s">
        <v>254</v>
      </c>
      <c r="G66" s="293"/>
      <c r="H66" s="294"/>
      <c r="I66" s="292" t="s">
        <v>255</v>
      </c>
      <c r="J66" s="293"/>
      <c r="K66" s="294"/>
      <c r="L66" s="292" t="s">
        <v>197</v>
      </c>
      <c r="M66" s="293"/>
      <c r="N66" s="294"/>
    </row>
    <row r="67" spans="1:14" ht="61.2" x14ac:dyDescent="0.3">
      <c r="A67" s="3"/>
      <c r="B67" s="296"/>
      <c r="C67" s="296"/>
      <c r="D67" s="296"/>
      <c r="E67" s="298"/>
      <c r="F67" s="67" t="s">
        <v>46</v>
      </c>
      <c r="G67" s="67" t="s">
        <v>47</v>
      </c>
      <c r="H67" s="67" t="s">
        <v>48</v>
      </c>
      <c r="I67" s="67" t="s">
        <v>49</v>
      </c>
      <c r="J67" s="67" t="s">
        <v>47</v>
      </c>
      <c r="K67" s="67" t="s">
        <v>48</v>
      </c>
      <c r="L67" s="67" t="s">
        <v>49</v>
      </c>
      <c r="M67" s="67" t="s">
        <v>47</v>
      </c>
      <c r="N67" s="67" t="s">
        <v>48</v>
      </c>
    </row>
    <row r="68" spans="1:14" ht="105" customHeight="1" x14ac:dyDescent="0.3">
      <c r="A68" s="3"/>
      <c r="B68" s="67" t="s">
        <v>66</v>
      </c>
      <c r="C68" s="81">
        <v>78.75</v>
      </c>
      <c r="D68" s="82">
        <v>69.95</v>
      </c>
      <c r="E68" s="82">
        <v>239.7</v>
      </c>
      <c r="F68" s="121">
        <v>145.65</v>
      </c>
      <c r="G68" s="121">
        <v>278.35000000000002</v>
      </c>
      <c r="H68" s="121">
        <v>65</v>
      </c>
      <c r="I68" s="121">
        <v>100.85</v>
      </c>
      <c r="J68" s="121">
        <v>211.4</v>
      </c>
      <c r="K68" s="121">
        <v>95.05</v>
      </c>
      <c r="L68" s="121">
        <v>63.3</v>
      </c>
      <c r="M68" s="121">
        <v>148</v>
      </c>
      <c r="N68" s="121">
        <v>61</v>
      </c>
    </row>
    <row r="69" spans="1:14" ht="40.799999999999997" x14ac:dyDescent="0.3">
      <c r="A69" s="3"/>
      <c r="B69" s="69" t="s">
        <v>67</v>
      </c>
      <c r="C69" s="82">
        <v>19664.7</v>
      </c>
      <c r="D69" s="82">
        <v>19122.150000000001</v>
      </c>
      <c r="E69" s="82">
        <v>21441.35</v>
      </c>
      <c r="F69" s="121">
        <v>22326.9</v>
      </c>
      <c r="G69" s="121">
        <v>22526.6</v>
      </c>
      <c r="H69" s="121">
        <v>17312.75</v>
      </c>
      <c r="I69" s="121">
        <v>23519.35</v>
      </c>
      <c r="J69" s="121">
        <v>26277.35</v>
      </c>
      <c r="K69" s="121">
        <v>21281.45</v>
      </c>
      <c r="L69" s="121">
        <v>22331.4</v>
      </c>
      <c r="M69" s="121">
        <v>26373.200000000001</v>
      </c>
      <c r="N69" s="121">
        <v>21743.65</v>
      </c>
    </row>
    <row r="70" spans="1:14" x14ac:dyDescent="0.3">
      <c r="A70" s="3"/>
      <c r="B70" s="253" t="s">
        <v>99</v>
      </c>
      <c r="C70" s="270"/>
      <c r="D70" s="270"/>
      <c r="E70" s="270"/>
      <c r="F70" s="270"/>
      <c r="G70" s="270"/>
      <c r="H70" s="270"/>
      <c r="I70" s="270"/>
      <c r="J70" s="270"/>
      <c r="K70" s="270"/>
      <c r="L70" s="270"/>
      <c r="M70" s="270"/>
      <c r="N70" s="254"/>
    </row>
    <row r="71" spans="1:14" x14ac:dyDescent="0.3">
      <c r="A71" s="3"/>
      <c r="B71" s="253" t="s">
        <v>801</v>
      </c>
      <c r="C71" s="270"/>
      <c r="D71" s="270"/>
      <c r="E71" s="270"/>
      <c r="F71" s="254"/>
      <c r="G71" s="83"/>
      <c r="H71" s="83"/>
      <c r="I71" s="83"/>
      <c r="J71" s="83"/>
      <c r="K71" s="83"/>
      <c r="L71" s="83"/>
      <c r="M71" s="83"/>
      <c r="N71" s="83"/>
    </row>
    <row r="72" spans="1:14" x14ac:dyDescent="0.3">
      <c r="A72" s="3"/>
      <c r="B72" s="253" t="s">
        <v>760</v>
      </c>
      <c r="C72" s="270"/>
      <c r="D72" s="270"/>
      <c r="E72" s="270"/>
      <c r="F72" s="254"/>
      <c r="G72" s="83"/>
      <c r="H72" s="83"/>
      <c r="I72" s="83"/>
      <c r="J72" s="83"/>
      <c r="K72" s="83"/>
      <c r="L72" s="83"/>
      <c r="M72" s="83"/>
      <c r="N72" s="83"/>
    </row>
    <row r="73" spans="1:14" x14ac:dyDescent="0.3">
      <c r="A73" s="3"/>
      <c r="B73" s="253" t="s">
        <v>71</v>
      </c>
      <c r="C73" s="270"/>
      <c r="D73" s="270"/>
      <c r="E73" s="270"/>
      <c r="F73" s="254"/>
      <c r="G73" s="83"/>
      <c r="H73" s="83"/>
      <c r="I73" s="83"/>
      <c r="J73" s="83"/>
      <c r="K73" s="83"/>
      <c r="L73" s="83"/>
      <c r="M73" s="83"/>
      <c r="N73" s="83"/>
    </row>
    <row r="74" spans="1:14" x14ac:dyDescent="0.3">
      <c r="A74" s="3"/>
      <c r="B74" s="84"/>
      <c r="C74" s="84"/>
      <c r="D74" s="84"/>
      <c r="E74" s="84"/>
      <c r="F74" s="84"/>
      <c r="G74" s="10"/>
      <c r="H74" s="10"/>
      <c r="I74" s="10"/>
      <c r="J74" s="10"/>
      <c r="K74" s="10"/>
      <c r="L74" s="10"/>
      <c r="M74" s="10"/>
      <c r="N74" s="10"/>
    </row>
    <row r="75" spans="1:14" ht="39" customHeight="1" x14ac:dyDescent="0.3">
      <c r="A75" s="3">
        <v>13</v>
      </c>
      <c r="B75" s="261" t="s">
        <v>51</v>
      </c>
      <c r="C75" s="262"/>
      <c r="D75" s="262"/>
      <c r="E75" s="262"/>
      <c r="F75" s="262"/>
      <c r="G75" s="263"/>
      <c r="H75" s="2"/>
      <c r="I75" s="2"/>
      <c r="J75" s="2"/>
      <c r="K75" s="2"/>
      <c r="L75" s="2"/>
      <c r="M75" s="2"/>
      <c r="N75" s="2"/>
    </row>
    <row r="76" spans="1:14" x14ac:dyDescent="0.3">
      <c r="A76" s="3"/>
      <c r="C76" s="66"/>
      <c r="D76" s="66"/>
      <c r="E76" s="66"/>
      <c r="F76" s="66"/>
      <c r="G76" s="66"/>
      <c r="H76" s="66"/>
      <c r="I76" s="66"/>
      <c r="J76" s="66"/>
      <c r="K76" s="66"/>
      <c r="L76" s="66"/>
      <c r="M76" s="66"/>
      <c r="N76" s="66"/>
    </row>
    <row r="77" spans="1:14" ht="61.2" x14ac:dyDescent="0.3">
      <c r="A77" s="3"/>
      <c r="B77" s="25" t="s">
        <v>52</v>
      </c>
      <c r="C77" s="25" t="s">
        <v>53</v>
      </c>
      <c r="D77" s="25" t="s">
        <v>259</v>
      </c>
      <c r="E77" s="25" t="s">
        <v>54</v>
      </c>
      <c r="F77" s="25" t="s">
        <v>55</v>
      </c>
      <c r="G77" s="25" t="s">
        <v>56</v>
      </c>
      <c r="H77" s="10"/>
      <c r="I77" s="10"/>
      <c r="J77" s="10"/>
      <c r="K77" s="10"/>
      <c r="L77" s="10"/>
      <c r="M77" s="10"/>
      <c r="N77" s="10"/>
    </row>
    <row r="78" spans="1:14" ht="21" customHeight="1" x14ac:dyDescent="0.3">
      <c r="A78" s="3"/>
      <c r="B78" s="63" t="s">
        <v>72</v>
      </c>
      <c r="C78" s="54" t="s">
        <v>292</v>
      </c>
      <c r="D78" s="134">
        <v>6.84</v>
      </c>
      <c r="E78" s="134">
        <v>3.37</v>
      </c>
      <c r="F78" s="88">
        <v>7.65</v>
      </c>
      <c r="G78" s="88">
        <v>7.57</v>
      </c>
    </row>
    <row r="79" spans="1:14" ht="21" customHeight="1" x14ac:dyDescent="0.3">
      <c r="A79" s="3"/>
      <c r="B79" s="123"/>
      <c r="C79" s="54" t="s">
        <v>237</v>
      </c>
      <c r="D79" s="135"/>
      <c r="E79" s="135"/>
      <c r="F79" s="88"/>
      <c r="G79" s="88"/>
    </row>
    <row r="80" spans="1:14" ht="27.75" customHeight="1" x14ac:dyDescent="0.3">
      <c r="A80" s="3"/>
      <c r="B80" s="123"/>
      <c r="C80" s="5" t="s">
        <v>293</v>
      </c>
      <c r="D80" s="135">
        <v>-4.66</v>
      </c>
      <c r="E80" s="152">
        <v>0.16</v>
      </c>
      <c r="F80" s="90">
        <v>0.3</v>
      </c>
      <c r="G80" s="88">
        <v>0.35</v>
      </c>
    </row>
    <row r="81" spans="1:7" x14ac:dyDescent="0.3">
      <c r="A81" s="3"/>
      <c r="B81" s="123"/>
      <c r="C81" s="5" t="s">
        <v>451</v>
      </c>
      <c r="D81" s="135">
        <v>4.5</v>
      </c>
      <c r="E81" s="135">
        <v>5.99</v>
      </c>
      <c r="F81" s="88">
        <v>2.2799999999999998</v>
      </c>
      <c r="G81" s="88">
        <v>0.77</v>
      </c>
    </row>
    <row r="82" spans="1:7" x14ac:dyDescent="0.3">
      <c r="A82" s="3"/>
      <c r="B82" s="123"/>
      <c r="C82" s="5" t="s">
        <v>452</v>
      </c>
      <c r="D82" s="135"/>
      <c r="E82" s="153">
        <v>5.9</v>
      </c>
      <c r="F82" s="88">
        <v>2.2400000000000002</v>
      </c>
      <c r="G82" s="88">
        <v>0.76</v>
      </c>
    </row>
    <row r="83" spans="1:7" ht="21" customHeight="1" x14ac:dyDescent="0.3">
      <c r="A83" s="3"/>
      <c r="B83" s="124"/>
      <c r="C83" s="54" t="s">
        <v>295</v>
      </c>
      <c r="D83" s="135">
        <f>AVERAGE(D80:D81)</f>
        <v>-8.0000000000000071E-2</v>
      </c>
      <c r="E83" s="135">
        <f>AVERAGE(E80:E81)</f>
        <v>3.0750000000000002</v>
      </c>
      <c r="F83" s="135">
        <f>AVERAGE(F80:F81)</f>
        <v>1.2899999999999998</v>
      </c>
      <c r="G83" s="135">
        <f>AVERAGE(G80:G81)</f>
        <v>0.56000000000000005</v>
      </c>
    </row>
    <row r="84" spans="1:7" x14ac:dyDescent="0.3">
      <c r="A84" s="3"/>
      <c r="B84" s="297" t="s">
        <v>59</v>
      </c>
      <c r="C84" s="54" t="s">
        <v>292</v>
      </c>
      <c r="D84" s="135">
        <v>13.3</v>
      </c>
      <c r="E84" s="153">
        <f>F68/E78</f>
        <v>43.219584569732937</v>
      </c>
      <c r="F84" s="88">
        <f>100.85/F78</f>
        <v>13.183006535947712</v>
      </c>
      <c r="G84" s="90">
        <f>L68/G78</f>
        <v>8.3619550858652563</v>
      </c>
    </row>
    <row r="85" spans="1:7" x14ac:dyDescent="0.3">
      <c r="A85" s="3"/>
      <c r="B85" s="309"/>
      <c r="C85" s="54" t="s">
        <v>237</v>
      </c>
      <c r="D85" s="135"/>
      <c r="E85" s="135"/>
      <c r="F85" s="88"/>
      <c r="G85" s="88"/>
    </row>
    <row r="86" spans="1:7" x14ac:dyDescent="0.3">
      <c r="A86" s="3"/>
      <c r="B86" s="309"/>
      <c r="C86" s="5" t="s">
        <v>293</v>
      </c>
      <c r="D86" s="135">
        <v>-3.13</v>
      </c>
      <c r="E86" s="152">
        <v>221.56</v>
      </c>
      <c r="F86" s="90">
        <f>17.81/F80</f>
        <v>59.366666666666667</v>
      </c>
      <c r="G86" s="90">
        <f>13.99/G80</f>
        <v>39.971428571428575</v>
      </c>
    </row>
    <row r="87" spans="1:7" x14ac:dyDescent="0.3">
      <c r="A87" s="3"/>
      <c r="B87" s="309"/>
      <c r="C87" s="5" t="s">
        <v>294</v>
      </c>
      <c r="D87" s="135">
        <v>128.24</v>
      </c>
      <c r="E87" s="153">
        <f>143.85/E81</f>
        <v>24.015025041736227</v>
      </c>
      <c r="F87" s="90">
        <f>77.76/F81</f>
        <v>34.10526315789474</v>
      </c>
      <c r="G87" s="90">
        <f>58.15/G81</f>
        <v>75.51948051948051</v>
      </c>
    </row>
    <row r="88" spans="1:7" x14ac:dyDescent="0.3">
      <c r="A88" s="3"/>
      <c r="B88" s="298"/>
      <c r="C88" s="54" t="s">
        <v>295</v>
      </c>
      <c r="D88" s="135">
        <f>AVERAGE(D86:D87)</f>
        <v>62.555000000000007</v>
      </c>
      <c r="E88" s="153">
        <f>AVERAGE(E86:E87)</f>
        <v>122.78751252086812</v>
      </c>
      <c r="F88" s="153">
        <f>AVERAGE(F86:F87)</f>
        <v>46.735964912280707</v>
      </c>
      <c r="G88" s="153">
        <f>AVERAGE(G86:G87)</f>
        <v>57.745454545454542</v>
      </c>
    </row>
    <row r="89" spans="1:7" x14ac:dyDescent="0.3">
      <c r="A89" s="3"/>
      <c r="B89" s="297" t="s">
        <v>60</v>
      </c>
      <c r="C89" s="54" t="s">
        <v>292</v>
      </c>
      <c r="D89" s="142">
        <v>0.63280000000000003</v>
      </c>
      <c r="E89" s="142">
        <v>9.2399999999999996E-2</v>
      </c>
      <c r="F89" s="110">
        <v>0.1948</v>
      </c>
      <c r="G89" s="110">
        <v>1.6199999999999999E-2</v>
      </c>
    </row>
    <row r="90" spans="1:7" x14ac:dyDescent="0.3">
      <c r="A90" s="3"/>
      <c r="B90" s="309"/>
      <c r="C90" s="54" t="s">
        <v>237</v>
      </c>
      <c r="D90" s="135"/>
      <c r="E90" s="135"/>
      <c r="F90" s="88"/>
      <c r="G90" s="88"/>
    </row>
    <row r="91" spans="1:7" x14ac:dyDescent="0.3">
      <c r="A91" s="3"/>
      <c r="B91" s="309"/>
      <c r="C91" s="5" t="s">
        <v>293</v>
      </c>
      <c r="D91" s="142">
        <v>-0.16819999999999999</v>
      </c>
      <c r="E91" s="154">
        <v>5.1700000000000003E-2</v>
      </c>
      <c r="F91" s="110">
        <v>8.7900000000000006E-2</v>
      </c>
      <c r="G91" s="110">
        <v>9.1999999999999998E-2</v>
      </c>
    </row>
    <row r="92" spans="1:7" x14ac:dyDescent="0.3">
      <c r="A92" s="3"/>
      <c r="B92" s="309"/>
      <c r="C92" s="5" t="s">
        <v>296</v>
      </c>
      <c r="D92" s="142">
        <v>0.1293</v>
      </c>
      <c r="E92" s="142">
        <v>0.3009</v>
      </c>
      <c r="F92" s="110">
        <v>0.1081</v>
      </c>
      <c r="G92" s="110">
        <v>3.4599999999999999E-2</v>
      </c>
    </row>
    <row r="93" spans="1:7" x14ac:dyDescent="0.3">
      <c r="A93" s="3"/>
      <c r="B93" s="298"/>
      <c r="C93" s="54" t="s">
        <v>295</v>
      </c>
      <c r="D93" s="142">
        <f>AVERAGE(D91:D92)</f>
        <v>-1.9449999999999995E-2</v>
      </c>
      <c r="E93" s="142">
        <f>AVERAGE(E91:E92)</f>
        <v>0.17630000000000001</v>
      </c>
      <c r="F93" s="142">
        <f>AVERAGE(F91:F92)</f>
        <v>9.8000000000000004E-2</v>
      </c>
      <c r="G93" s="142">
        <f>AVERAGE(G91:G92)</f>
        <v>6.3299999999999995E-2</v>
      </c>
    </row>
    <row r="94" spans="1:7" x14ac:dyDescent="0.3">
      <c r="A94" s="3"/>
      <c r="B94" s="310" t="s">
        <v>61</v>
      </c>
      <c r="C94" s="54" t="s">
        <v>292</v>
      </c>
      <c r="D94" s="135">
        <v>10.81</v>
      </c>
      <c r="E94" s="135">
        <v>31.63</v>
      </c>
      <c r="F94" s="88">
        <v>39.28</v>
      </c>
      <c r="G94" s="88">
        <v>467.14</v>
      </c>
    </row>
    <row r="95" spans="1:7" x14ac:dyDescent="0.3">
      <c r="A95" s="3"/>
      <c r="B95" s="310"/>
      <c r="C95" s="54" t="s">
        <v>237</v>
      </c>
      <c r="D95" s="135"/>
      <c r="E95" s="135"/>
      <c r="F95" s="88"/>
      <c r="G95" s="88"/>
    </row>
    <row r="96" spans="1:7" ht="31.5" customHeight="1" x14ac:dyDescent="0.3">
      <c r="A96" s="3"/>
      <c r="B96" s="310"/>
      <c r="C96" s="5" t="s">
        <v>293</v>
      </c>
      <c r="D96" s="151">
        <v>27.74</v>
      </c>
      <c r="E96" s="152">
        <v>3.15</v>
      </c>
      <c r="F96" s="88">
        <v>3.42</v>
      </c>
      <c r="G96" s="88">
        <v>3.77</v>
      </c>
    </row>
    <row r="97" spans="1:8" x14ac:dyDescent="0.3">
      <c r="A97" s="3"/>
      <c r="B97" s="310"/>
      <c r="C97" s="5" t="s">
        <v>294</v>
      </c>
      <c r="D97" s="134">
        <v>34.770000000000003</v>
      </c>
      <c r="E97" s="134">
        <v>19.53</v>
      </c>
      <c r="F97" s="88">
        <v>21.02</v>
      </c>
      <c r="G97" s="90">
        <v>21.7</v>
      </c>
    </row>
    <row r="98" spans="1:8" x14ac:dyDescent="0.4">
      <c r="A98" s="3"/>
      <c r="B98" s="310"/>
      <c r="C98" s="54" t="s">
        <v>295</v>
      </c>
      <c r="D98" s="155">
        <f>AVERAGE(D96:D97)</f>
        <v>31.255000000000003</v>
      </c>
      <c r="E98" s="156">
        <f>AVERAGE(E96:E97)</f>
        <v>11.34</v>
      </c>
      <c r="F98" s="156">
        <f>AVERAGE(F96:F97)</f>
        <v>12.219999999999999</v>
      </c>
      <c r="G98" s="179">
        <f>AVERAGE(G96:G97)</f>
        <v>12.734999999999999</v>
      </c>
    </row>
    <row r="99" spans="1:8" x14ac:dyDescent="0.3">
      <c r="A99" s="3"/>
      <c r="B99" s="301"/>
      <c r="C99" s="302"/>
      <c r="D99" s="302"/>
      <c r="E99" s="302"/>
      <c r="F99" s="302"/>
      <c r="G99" s="303"/>
    </row>
    <row r="100" spans="1:8" s="2" customFormat="1" x14ac:dyDescent="0.3">
      <c r="B100" s="253" t="s">
        <v>82</v>
      </c>
      <c r="C100" s="270"/>
      <c r="D100" s="270"/>
      <c r="E100" s="270"/>
      <c r="F100" s="270"/>
      <c r="G100" s="254"/>
    </row>
    <row r="101" spans="1:8" x14ac:dyDescent="0.3">
      <c r="A101" s="3"/>
      <c r="B101" s="253" t="s">
        <v>608</v>
      </c>
      <c r="C101" s="270"/>
      <c r="D101" s="270"/>
      <c r="E101" s="270"/>
      <c r="F101" s="270"/>
      <c r="G101" s="254"/>
    </row>
    <row r="102" spans="1:8" ht="31.5" customHeight="1" x14ac:dyDescent="0.3">
      <c r="B102" s="270" t="s">
        <v>761</v>
      </c>
      <c r="C102" s="270"/>
      <c r="D102" s="270"/>
      <c r="E102" s="270"/>
      <c r="F102" s="270"/>
      <c r="G102" s="270"/>
    </row>
    <row r="103" spans="1:8" x14ac:dyDescent="0.3">
      <c r="A103" s="3">
        <v>14</v>
      </c>
      <c r="B103" s="54" t="s">
        <v>63</v>
      </c>
      <c r="C103" s="307" t="s">
        <v>50</v>
      </c>
      <c r="D103" s="308"/>
      <c r="E103" s="308"/>
      <c r="F103" s="308"/>
      <c r="G103" s="249"/>
    </row>
    <row r="104" spans="1:8" x14ac:dyDescent="0.3">
      <c r="C104" s="55"/>
      <c r="D104" s="55"/>
      <c r="E104" s="55"/>
      <c r="F104" s="55"/>
      <c r="G104" s="55"/>
    </row>
    <row r="105" spans="1:8" x14ac:dyDescent="0.3">
      <c r="B105" s="299" t="s">
        <v>283</v>
      </c>
      <c r="C105" s="299"/>
      <c r="D105" s="299"/>
      <c r="E105" s="299"/>
      <c r="F105" s="299"/>
      <c r="G105" s="299"/>
      <c r="H105" s="299"/>
    </row>
    <row r="110" spans="1:8" x14ac:dyDescent="0.3">
      <c r="D110" s="56"/>
      <c r="E110" s="56"/>
    </row>
    <row r="111" spans="1:8" x14ac:dyDescent="0.3">
      <c r="E111" s="56"/>
    </row>
  </sheetData>
  <mergeCells count="58">
    <mergeCell ref="B73:F73"/>
    <mergeCell ref="B75:G75"/>
    <mergeCell ref="B105:H105"/>
    <mergeCell ref="B94:B98"/>
    <mergeCell ref="B89:B93"/>
    <mergeCell ref="B84:B88"/>
    <mergeCell ref="B99:G99"/>
    <mergeCell ref="B100:G100"/>
    <mergeCell ref="B101:G101"/>
    <mergeCell ref="C103:G103"/>
    <mergeCell ref="B102:G102"/>
    <mergeCell ref="L66:N66"/>
    <mergeCell ref="B70:N70"/>
    <mergeCell ref="I66:K66"/>
    <mergeCell ref="B72:F72"/>
    <mergeCell ref="B71:F71"/>
    <mergeCell ref="B66:B67"/>
    <mergeCell ref="C66:C67"/>
    <mergeCell ref="D66:D67"/>
    <mergeCell ref="E66:E67"/>
    <mergeCell ref="F66:H66"/>
    <mergeCell ref="C62:E62"/>
    <mergeCell ref="C44:E44"/>
    <mergeCell ref="B45:E45"/>
    <mergeCell ref="B47:E47"/>
    <mergeCell ref="B50:E50"/>
    <mergeCell ref="B53:E53"/>
    <mergeCell ref="B54:B55"/>
    <mergeCell ref="C54:E55"/>
    <mergeCell ref="C56:E56"/>
    <mergeCell ref="C57:E57"/>
    <mergeCell ref="B58:E58"/>
    <mergeCell ref="C60:E60"/>
    <mergeCell ref="C61:E61"/>
    <mergeCell ref="C43:E43"/>
    <mergeCell ref="C22:E22"/>
    <mergeCell ref="C23:E23"/>
    <mergeCell ref="C24:E24"/>
    <mergeCell ref="B26:E26"/>
    <mergeCell ref="B27:E27"/>
    <mergeCell ref="B33:E33"/>
    <mergeCell ref="B35:E35"/>
    <mergeCell ref="B39:D39"/>
    <mergeCell ref="B41:E41"/>
    <mergeCell ref="C42:E42"/>
    <mergeCell ref="B25:E25"/>
    <mergeCell ref="C21:E21"/>
    <mergeCell ref="A1:B1"/>
    <mergeCell ref="C5:E5"/>
    <mergeCell ref="B6:D6"/>
    <mergeCell ref="B9:D9"/>
    <mergeCell ref="C11:E11"/>
    <mergeCell ref="B12:D12"/>
    <mergeCell ref="C14:E14"/>
    <mergeCell ref="B15:D15"/>
    <mergeCell ref="B17:C17"/>
    <mergeCell ref="B19:E19"/>
    <mergeCell ref="C20:E20"/>
  </mergeCells>
  <pageMargins left="0.70866141732283472" right="0.70866141732283472" top="0.74803149606299213" bottom="0.74803149606299213" header="0.31496062992125984" footer="0.31496062992125984"/>
  <pageSetup paperSize="9" scale="30" fitToWidth="70" fitToHeight="2" orientation="landscape" horizontalDpi="4294967292"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02B55-F068-4658-BBDA-29E0870865E2}">
  <sheetPr>
    <pageSetUpPr fitToPage="1"/>
  </sheetPr>
  <dimension ref="A1:Q114"/>
  <sheetViews>
    <sheetView view="pageBreakPreview" topLeftCell="B67" zoomScale="59" zoomScaleNormal="50" workbookViewId="0">
      <selection activeCell="G101" sqref="G101"/>
    </sheetView>
  </sheetViews>
  <sheetFormatPr defaultColWidth="8.6640625" defaultRowHeight="21" x14ac:dyDescent="0.3"/>
  <cols>
    <col min="1" max="1" width="8.6640625" style="1"/>
    <col min="2" max="2" width="58.33203125" style="1" customWidth="1"/>
    <col min="3" max="3" width="68" style="1" customWidth="1"/>
    <col min="4" max="4" width="46.88671875" style="1" customWidth="1"/>
    <col min="5" max="5" width="27.6640625" style="1" customWidth="1"/>
    <col min="6" max="6" width="15" style="1" customWidth="1"/>
    <col min="7" max="7" width="14" style="1" customWidth="1"/>
    <col min="8" max="8" width="22.6640625" style="1" customWidth="1"/>
    <col min="9" max="9" width="16.5546875" style="1" customWidth="1"/>
    <col min="10" max="10" width="20.6640625" style="1" customWidth="1"/>
    <col min="11" max="11" width="19.109375" style="1" customWidth="1"/>
    <col min="12" max="14" width="12.88671875" style="1" bestFit="1" customWidth="1"/>
    <col min="15" max="16384" width="8.6640625" style="1"/>
  </cols>
  <sheetData>
    <row r="1" spans="1:5" ht="20.25" customHeight="1" x14ac:dyDescent="0.3">
      <c r="A1" s="246" t="s">
        <v>0</v>
      </c>
      <c r="B1" s="246"/>
      <c r="D1" s="2"/>
    </row>
    <row r="3" spans="1:5" ht="40.799999999999997" x14ac:dyDescent="0.3">
      <c r="A3" s="3" t="s">
        <v>1</v>
      </c>
      <c r="B3" s="54" t="s">
        <v>2</v>
      </c>
      <c r="C3" s="5" t="s">
        <v>297</v>
      </c>
    </row>
    <row r="4" spans="1:5" x14ac:dyDescent="0.3">
      <c r="D4" s="22"/>
    </row>
    <row r="5" spans="1:5" x14ac:dyDescent="0.3">
      <c r="A5" s="62">
        <v>1</v>
      </c>
      <c r="B5" s="63" t="s">
        <v>3</v>
      </c>
      <c r="C5" s="247" t="s">
        <v>799</v>
      </c>
      <c r="D5" s="248"/>
      <c r="E5" s="249"/>
    </row>
    <row r="6" spans="1:5" x14ac:dyDescent="0.3">
      <c r="A6" s="3"/>
      <c r="B6" s="250" t="s">
        <v>4</v>
      </c>
      <c r="C6" s="251"/>
      <c r="D6" s="252"/>
      <c r="E6" s="10"/>
    </row>
    <row r="7" spans="1:5" x14ac:dyDescent="0.3">
      <c r="A7" s="3"/>
      <c r="B7" s="2"/>
      <c r="D7" s="22"/>
    </row>
    <row r="8" spans="1:5" x14ac:dyDescent="0.3">
      <c r="A8" s="3">
        <v>2</v>
      </c>
      <c r="B8" s="63" t="s">
        <v>5</v>
      </c>
      <c r="C8" s="12" t="s">
        <v>298</v>
      </c>
      <c r="D8" s="22"/>
    </row>
    <row r="9" spans="1:5" x14ac:dyDescent="0.3">
      <c r="A9" s="3"/>
      <c r="B9" s="250" t="s">
        <v>4</v>
      </c>
      <c r="C9" s="251"/>
      <c r="D9" s="252"/>
    </row>
    <row r="10" spans="1:5" x14ac:dyDescent="0.3">
      <c r="A10" s="3"/>
      <c r="B10" s="2"/>
      <c r="D10" s="22"/>
    </row>
    <row r="11" spans="1:5" ht="40.950000000000003" customHeight="1" x14ac:dyDescent="0.3">
      <c r="A11" s="3">
        <v>3</v>
      </c>
      <c r="B11" s="63" t="s">
        <v>6</v>
      </c>
      <c r="C11" s="247" t="s">
        <v>90</v>
      </c>
      <c r="D11" s="248"/>
      <c r="E11" s="249"/>
    </row>
    <row r="12" spans="1:5" x14ac:dyDescent="0.3">
      <c r="A12" s="3"/>
      <c r="B12" s="250" t="s">
        <v>4</v>
      </c>
      <c r="C12" s="251"/>
      <c r="D12" s="252"/>
      <c r="E12" s="10"/>
    </row>
    <row r="13" spans="1:5" x14ac:dyDescent="0.3">
      <c r="A13" s="3"/>
      <c r="B13" s="2"/>
      <c r="D13" s="22"/>
    </row>
    <row r="14" spans="1:5" x14ac:dyDescent="0.3">
      <c r="A14" s="3">
        <v>4</v>
      </c>
      <c r="B14" s="54" t="s">
        <v>92</v>
      </c>
      <c r="C14" s="247" t="s">
        <v>90</v>
      </c>
      <c r="D14" s="248"/>
      <c r="E14" s="249"/>
    </row>
    <row r="15" spans="1:5" x14ac:dyDescent="0.3">
      <c r="A15" s="3"/>
      <c r="B15" s="250" t="s">
        <v>4</v>
      </c>
      <c r="C15" s="251"/>
      <c r="D15" s="252"/>
    </row>
    <row r="16" spans="1:5" x14ac:dyDescent="0.3">
      <c r="A16" s="3">
        <v>4</v>
      </c>
      <c r="B16" s="54" t="s">
        <v>7</v>
      </c>
      <c r="C16" s="5" t="s">
        <v>299</v>
      </c>
      <c r="D16" s="22"/>
    </row>
    <row r="17" spans="1:14" x14ac:dyDescent="0.3">
      <c r="A17" s="3"/>
      <c r="B17" s="253" t="s">
        <v>8</v>
      </c>
      <c r="C17" s="254"/>
      <c r="D17" s="22"/>
    </row>
    <row r="18" spans="1:14" x14ac:dyDescent="0.3">
      <c r="A18" s="3"/>
      <c r="D18" s="22"/>
    </row>
    <row r="19" spans="1:14" x14ac:dyDescent="0.3">
      <c r="A19" s="3">
        <v>5</v>
      </c>
      <c r="B19" s="255" t="s">
        <v>9</v>
      </c>
      <c r="C19" s="256"/>
      <c r="D19" s="256"/>
      <c r="E19" s="257"/>
      <c r="F19" s="2"/>
      <c r="G19" s="2"/>
      <c r="H19" s="2"/>
      <c r="I19" s="2"/>
      <c r="J19" s="10"/>
      <c r="K19" s="10"/>
      <c r="L19" s="10"/>
      <c r="M19" s="10"/>
      <c r="N19" s="10"/>
    </row>
    <row r="20" spans="1:14" x14ac:dyDescent="0.3">
      <c r="A20" s="3"/>
      <c r="B20" s="65" t="s">
        <v>10</v>
      </c>
      <c r="C20" s="243" t="s">
        <v>11</v>
      </c>
      <c r="D20" s="244"/>
      <c r="E20" s="245"/>
      <c r="F20" s="66"/>
      <c r="G20" s="10"/>
      <c r="H20" s="10"/>
      <c r="I20" s="10"/>
      <c r="J20" s="10"/>
      <c r="K20" s="10"/>
      <c r="L20" s="10"/>
      <c r="M20" s="10"/>
      <c r="N20" s="10"/>
    </row>
    <row r="21" spans="1:14" ht="61.2" x14ac:dyDescent="0.3">
      <c r="A21" s="3"/>
      <c r="B21" s="65" t="s">
        <v>300</v>
      </c>
      <c r="C21" s="243" t="s">
        <v>11</v>
      </c>
      <c r="D21" s="244"/>
      <c r="E21" s="245"/>
      <c r="F21" s="66"/>
      <c r="G21" s="10"/>
      <c r="I21" s="10"/>
      <c r="J21" s="10"/>
      <c r="K21" s="10"/>
      <c r="L21" s="10"/>
      <c r="M21" s="10"/>
      <c r="N21" s="10"/>
    </row>
    <row r="22" spans="1:14" x14ac:dyDescent="0.3">
      <c r="A22" s="3"/>
      <c r="B22" s="65" t="s">
        <v>243</v>
      </c>
      <c r="C22" s="438" t="s">
        <v>11</v>
      </c>
      <c r="D22" s="439"/>
      <c r="E22" s="440"/>
      <c r="F22" s="66"/>
      <c r="G22" s="10"/>
      <c r="H22" s="10"/>
      <c r="I22" s="10"/>
      <c r="J22" s="10"/>
      <c r="K22" s="10"/>
      <c r="L22" s="10"/>
      <c r="M22" s="10"/>
      <c r="N22" s="10"/>
    </row>
    <row r="23" spans="1:14" x14ac:dyDescent="0.3">
      <c r="A23" s="3"/>
      <c r="B23" s="64" t="s">
        <v>252</v>
      </c>
      <c r="C23" s="438" t="s">
        <v>11</v>
      </c>
      <c r="D23" s="439"/>
      <c r="E23" s="440"/>
      <c r="F23" s="66"/>
      <c r="G23" s="10"/>
      <c r="H23" s="10"/>
      <c r="I23" s="10"/>
      <c r="J23" s="10"/>
      <c r="K23" s="10"/>
      <c r="L23" s="10"/>
      <c r="M23" s="10"/>
      <c r="N23" s="10"/>
    </row>
    <row r="24" spans="1:14" x14ac:dyDescent="0.3">
      <c r="A24" s="3"/>
      <c r="B24" s="67" t="s">
        <v>253</v>
      </c>
      <c r="C24" s="438" t="s">
        <v>11</v>
      </c>
      <c r="D24" s="439"/>
      <c r="E24" s="440"/>
      <c r="F24" s="66"/>
      <c r="G24" s="10"/>
      <c r="H24" s="10"/>
      <c r="I24" s="10"/>
      <c r="J24" s="10"/>
      <c r="K24" s="10"/>
      <c r="L24" s="10"/>
      <c r="M24" s="10"/>
      <c r="N24" s="10"/>
    </row>
    <row r="25" spans="1:14" ht="40.5" customHeight="1" x14ac:dyDescent="0.3">
      <c r="A25" s="3"/>
      <c r="B25" s="262" t="s">
        <v>793</v>
      </c>
      <c r="C25" s="262"/>
      <c r="D25" s="262"/>
      <c r="E25" s="262"/>
      <c r="F25" s="66"/>
      <c r="G25" s="10"/>
      <c r="H25" s="10"/>
      <c r="I25" s="10"/>
      <c r="J25" s="10"/>
      <c r="K25" s="10"/>
      <c r="L25" s="10"/>
      <c r="M25" s="10"/>
      <c r="N25" s="10"/>
    </row>
    <row r="26" spans="1:14" x14ac:dyDescent="0.3">
      <c r="A26" s="3">
        <v>6</v>
      </c>
      <c r="B26" s="261" t="s">
        <v>74</v>
      </c>
      <c r="C26" s="262"/>
      <c r="D26" s="262"/>
      <c r="E26" s="263"/>
      <c r="F26" s="2"/>
      <c r="G26" s="2"/>
      <c r="H26" s="10"/>
      <c r="I26" s="2"/>
      <c r="J26" s="2"/>
    </row>
    <row r="27" spans="1:14" x14ac:dyDescent="0.3">
      <c r="A27" s="3"/>
      <c r="B27" s="264" t="s">
        <v>17</v>
      </c>
      <c r="C27" s="265"/>
      <c r="D27" s="265"/>
      <c r="E27" s="266"/>
      <c r="F27" s="66"/>
    </row>
    <row r="28" spans="1:14" x14ac:dyDescent="0.3">
      <c r="A28" s="3"/>
      <c r="B28" s="67" t="s">
        <v>18</v>
      </c>
      <c r="C28" s="25" t="s">
        <v>244</v>
      </c>
      <c r="D28" s="25" t="s">
        <v>245</v>
      </c>
      <c r="E28" s="25" t="s">
        <v>246</v>
      </c>
      <c r="F28" s="66"/>
    </row>
    <row r="29" spans="1:14" ht="20.7" customHeight="1" x14ac:dyDescent="0.3">
      <c r="A29" s="3"/>
      <c r="B29" s="68" t="s">
        <v>21</v>
      </c>
      <c r="C29" s="27">
        <v>2883.15</v>
      </c>
      <c r="D29" s="127">
        <v>4425.83</v>
      </c>
      <c r="E29" s="27">
        <v>498169</v>
      </c>
      <c r="F29" s="66"/>
    </row>
    <row r="30" spans="1:14" x14ac:dyDescent="0.3">
      <c r="A30" s="3"/>
      <c r="B30" s="68" t="s">
        <v>23</v>
      </c>
      <c r="C30" s="27">
        <v>65.5</v>
      </c>
      <c r="D30" s="27">
        <v>213.78</v>
      </c>
      <c r="E30" s="27">
        <v>168.71</v>
      </c>
      <c r="F30" s="66"/>
    </row>
    <row r="31" spans="1:14" x14ac:dyDescent="0.3">
      <c r="A31" s="3"/>
      <c r="B31" s="68" t="s">
        <v>24</v>
      </c>
      <c r="C31" s="27">
        <v>360.38</v>
      </c>
      <c r="D31" s="27">
        <v>360.38</v>
      </c>
      <c r="E31" s="27">
        <v>67117</v>
      </c>
      <c r="F31" s="66"/>
      <c r="H31" s="57"/>
    </row>
    <row r="32" spans="1:14" x14ac:dyDescent="0.3">
      <c r="A32" s="3"/>
      <c r="B32" s="68" t="s">
        <v>25</v>
      </c>
      <c r="C32" s="27">
        <v>826.1</v>
      </c>
      <c r="D32" s="127">
        <v>1032.8699999999999</v>
      </c>
      <c r="E32" s="127">
        <v>7692.02</v>
      </c>
      <c r="F32" s="66"/>
    </row>
    <row r="33" spans="1:10" x14ac:dyDescent="0.3">
      <c r="A33" s="3"/>
      <c r="B33" s="253" t="s">
        <v>800</v>
      </c>
      <c r="C33" s="270"/>
      <c r="D33" s="270"/>
      <c r="E33" s="254"/>
      <c r="F33" s="66"/>
    </row>
    <row r="34" spans="1:10" x14ac:dyDescent="0.3">
      <c r="A34" s="3"/>
      <c r="B34" s="10"/>
      <c r="C34" s="66"/>
      <c r="D34" s="66"/>
      <c r="E34" s="66"/>
      <c r="F34" s="66"/>
    </row>
    <row r="35" spans="1:10" ht="41.7" customHeight="1" x14ac:dyDescent="0.3">
      <c r="A35" s="3">
        <v>7</v>
      </c>
      <c r="B35" s="261" t="s">
        <v>26</v>
      </c>
      <c r="C35" s="262"/>
      <c r="D35" s="262"/>
      <c r="E35" s="263"/>
      <c r="F35" s="2"/>
      <c r="G35" s="2"/>
      <c r="H35" s="2"/>
      <c r="I35" s="2"/>
      <c r="J35" s="2"/>
    </row>
    <row r="36" spans="1:10" x14ac:dyDescent="0.3">
      <c r="A36" s="3"/>
      <c r="B36" s="67" t="s">
        <v>247</v>
      </c>
      <c r="C36" s="27" t="s">
        <v>496</v>
      </c>
      <c r="D36" s="5"/>
      <c r="E36" s="5"/>
      <c r="F36" s="10"/>
    </row>
    <row r="37" spans="1:10" x14ac:dyDescent="0.3">
      <c r="A37" s="3"/>
      <c r="B37" s="67" t="s">
        <v>28</v>
      </c>
      <c r="C37" s="27" t="s">
        <v>496</v>
      </c>
      <c r="D37" s="10"/>
      <c r="E37" s="10"/>
      <c r="F37" s="10"/>
    </row>
    <row r="38" spans="1:10" x14ac:dyDescent="0.3">
      <c r="A38" s="3"/>
      <c r="B38" s="67" t="s">
        <v>29</v>
      </c>
      <c r="C38" s="27" t="s">
        <v>496</v>
      </c>
      <c r="D38" s="10"/>
      <c r="E38" s="10"/>
      <c r="F38" s="10"/>
    </row>
    <row r="39" spans="1:10" ht="42" customHeight="1" x14ac:dyDescent="0.3">
      <c r="A39" s="3"/>
      <c r="B39" s="271" t="s">
        <v>303</v>
      </c>
      <c r="C39" s="271"/>
      <c r="D39" s="271"/>
      <c r="E39" s="10"/>
      <c r="F39" s="10"/>
    </row>
    <row r="40" spans="1:10" x14ac:dyDescent="0.3">
      <c r="A40" s="3"/>
      <c r="B40" s="66"/>
      <c r="C40" s="10"/>
      <c r="D40" s="10"/>
      <c r="E40" s="10"/>
      <c r="F40" s="10"/>
    </row>
    <row r="41" spans="1:10" x14ac:dyDescent="0.3">
      <c r="A41" s="3">
        <v>8</v>
      </c>
      <c r="B41" s="261" t="s">
        <v>30</v>
      </c>
      <c r="C41" s="262"/>
      <c r="D41" s="262"/>
      <c r="E41" s="263"/>
      <c r="F41" s="2"/>
      <c r="G41" s="2"/>
      <c r="H41" s="2"/>
      <c r="I41" s="2"/>
      <c r="J41" s="2"/>
    </row>
    <row r="42" spans="1:10" x14ac:dyDescent="0.3">
      <c r="A42" s="3"/>
      <c r="B42" s="67" t="s">
        <v>31</v>
      </c>
      <c r="C42" s="258" t="s">
        <v>11</v>
      </c>
      <c r="D42" s="259"/>
      <c r="E42" s="260"/>
      <c r="F42" s="10"/>
    </row>
    <row r="43" spans="1:10" x14ac:dyDescent="0.3">
      <c r="A43" s="3"/>
      <c r="B43" s="67" t="s">
        <v>28</v>
      </c>
      <c r="C43" s="258" t="s">
        <v>747</v>
      </c>
      <c r="D43" s="259"/>
      <c r="E43" s="260"/>
      <c r="F43" s="10"/>
    </row>
    <row r="44" spans="1:10" x14ac:dyDescent="0.3">
      <c r="A44" s="3"/>
      <c r="B44" s="67" t="s">
        <v>29</v>
      </c>
      <c r="C44" s="258" t="s">
        <v>906</v>
      </c>
      <c r="D44" s="259"/>
      <c r="E44" s="260"/>
      <c r="F44" s="10"/>
    </row>
    <row r="45" spans="1:10" x14ac:dyDescent="0.3">
      <c r="A45" s="3"/>
      <c r="B45" s="253" t="s">
        <v>802</v>
      </c>
      <c r="C45" s="270"/>
      <c r="D45" s="270"/>
      <c r="E45" s="254"/>
      <c r="F45" s="10"/>
    </row>
    <row r="46" spans="1:10" x14ac:dyDescent="0.3">
      <c r="A46" s="3"/>
      <c r="D46" s="22"/>
      <c r="E46" s="10"/>
    </row>
    <row r="47" spans="1:10" ht="83.4" customHeight="1" x14ac:dyDescent="0.3">
      <c r="A47" s="191">
        <v>9</v>
      </c>
      <c r="B47" s="262" t="s">
        <v>32</v>
      </c>
      <c r="C47" s="262"/>
      <c r="D47" s="262"/>
      <c r="E47" s="263"/>
      <c r="F47" s="2"/>
      <c r="G47" s="2"/>
      <c r="H47" s="2"/>
      <c r="I47" s="2"/>
    </row>
    <row r="48" spans="1:10" ht="81.599999999999994" x14ac:dyDescent="0.3">
      <c r="A48" s="191"/>
      <c r="B48" s="24" t="s">
        <v>33</v>
      </c>
      <c r="C48" s="25" t="s">
        <v>34</v>
      </c>
      <c r="D48" s="25" t="s">
        <v>96</v>
      </c>
      <c r="E48" s="25" t="s">
        <v>35</v>
      </c>
    </row>
    <row r="49" spans="1:14" ht="166.2" customHeight="1" x14ac:dyDescent="0.3">
      <c r="A49" s="191"/>
      <c r="B49" s="189" t="s">
        <v>261</v>
      </c>
      <c r="C49" s="27" t="s">
        <v>304</v>
      </c>
      <c r="D49" s="27" t="s">
        <v>821</v>
      </c>
      <c r="E49" s="27" t="s">
        <v>50</v>
      </c>
    </row>
    <row r="50" spans="1:14" x14ac:dyDescent="0.3">
      <c r="A50" s="191"/>
      <c r="B50" s="270" t="s">
        <v>822</v>
      </c>
      <c r="C50" s="270"/>
      <c r="D50" s="270"/>
      <c r="E50" s="254"/>
    </row>
    <row r="51" spans="1:14" x14ac:dyDescent="0.3">
      <c r="A51" s="191"/>
      <c r="B51" s="103" t="s">
        <v>941</v>
      </c>
      <c r="C51" s="87"/>
      <c r="D51" s="87"/>
      <c r="E51" s="87"/>
    </row>
    <row r="52" spans="1:14" x14ac:dyDescent="0.3">
      <c r="A52" s="191"/>
      <c r="B52" s="28"/>
      <c r="C52" s="22"/>
      <c r="D52" s="22"/>
      <c r="E52" s="22"/>
      <c r="F52" s="66"/>
      <c r="G52" s="66"/>
      <c r="H52" s="66"/>
      <c r="I52" s="66"/>
    </row>
    <row r="53" spans="1:14" ht="43.2" customHeight="1" x14ac:dyDescent="0.3">
      <c r="A53" s="191">
        <v>10</v>
      </c>
      <c r="B53" s="262" t="s">
        <v>32</v>
      </c>
      <c r="C53" s="262"/>
      <c r="D53" s="262"/>
      <c r="E53" s="263"/>
      <c r="F53" s="66"/>
      <c r="G53" s="66"/>
      <c r="H53" s="66"/>
    </row>
    <row r="54" spans="1:14" x14ac:dyDescent="0.3">
      <c r="A54" s="191"/>
      <c r="B54" s="275" t="s">
        <v>36</v>
      </c>
      <c r="C54" s="277" t="s">
        <v>304</v>
      </c>
      <c r="D54" s="278"/>
      <c r="E54" s="279"/>
      <c r="K54" s="2"/>
    </row>
    <row r="55" spans="1:14" ht="100.2" customHeight="1" x14ac:dyDescent="0.3">
      <c r="A55" s="191"/>
      <c r="B55" s="276"/>
      <c r="C55" s="280"/>
      <c r="D55" s="281"/>
      <c r="E55" s="282"/>
      <c r="K55" s="2"/>
    </row>
    <row r="56" spans="1:14" ht="85.2" customHeight="1" x14ac:dyDescent="0.3">
      <c r="A56" s="191"/>
      <c r="B56" s="29" t="s">
        <v>37</v>
      </c>
      <c r="C56" s="283" t="s">
        <v>821</v>
      </c>
      <c r="D56" s="284"/>
      <c r="E56" s="285"/>
    </row>
    <row r="57" spans="1:14" x14ac:dyDescent="0.3">
      <c r="A57" s="191"/>
      <c r="B57" s="29" t="s">
        <v>38</v>
      </c>
      <c r="C57" s="286" t="s">
        <v>232</v>
      </c>
      <c r="D57" s="287"/>
      <c r="E57" s="288"/>
      <c r="K57" s="30"/>
    </row>
    <row r="58" spans="1:14" s="32" customFormat="1" x14ac:dyDescent="0.4">
      <c r="A58" s="111" t="s">
        <v>39</v>
      </c>
      <c r="B58" s="290" t="s">
        <v>942</v>
      </c>
      <c r="C58" s="290"/>
      <c r="D58" s="290"/>
      <c r="E58" s="291"/>
    </row>
    <row r="59" spans="1:14" ht="42" customHeight="1" x14ac:dyDescent="0.3">
      <c r="A59" s="191"/>
      <c r="B59" s="308" t="s">
        <v>822</v>
      </c>
      <c r="C59" s="308"/>
      <c r="D59" s="308"/>
      <c r="E59" s="73"/>
      <c r="F59" s="73"/>
    </row>
    <row r="60" spans="1:14" x14ac:dyDescent="0.3">
      <c r="A60" s="3">
        <v>11</v>
      </c>
      <c r="B60" s="54" t="s">
        <v>41</v>
      </c>
      <c r="C60" s="270" t="s">
        <v>121</v>
      </c>
      <c r="D60" s="270"/>
      <c r="E60" s="270"/>
      <c r="F60" s="2"/>
      <c r="G60" s="2"/>
      <c r="H60" s="74"/>
      <c r="I60" s="2"/>
      <c r="J60" s="2"/>
    </row>
    <row r="61" spans="1:14" ht="20.7" customHeight="1" x14ac:dyDescent="0.3">
      <c r="A61" s="3"/>
      <c r="B61" s="66"/>
      <c r="C61" s="270"/>
      <c r="D61" s="270"/>
      <c r="E61" s="270"/>
      <c r="F61" s="66"/>
      <c r="G61" s="66"/>
      <c r="H61" s="75"/>
      <c r="I61" s="75"/>
      <c r="J61" s="66"/>
    </row>
    <row r="62" spans="1:14" s="42" customFormat="1" x14ac:dyDescent="0.3">
      <c r="A62" s="76">
        <v>12</v>
      </c>
      <c r="B62" s="77" t="s">
        <v>42</v>
      </c>
      <c r="C62" s="272"/>
      <c r="D62" s="273"/>
      <c r="E62" s="274"/>
      <c r="F62" s="78"/>
      <c r="G62" s="79"/>
      <c r="H62" s="79"/>
      <c r="I62" s="79"/>
      <c r="J62" s="79"/>
      <c r="K62" s="79"/>
      <c r="L62" s="79"/>
      <c r="M62" s="79"/>
      <c r="N62" s="79"/>
    </row>
    <row r="63" spans="1:14" x14ac:dyDescent="0.3">
      <c r="A63" s="3"/>
      <c r="B63" s="2"/>
      <c r="C63" s="2"/>
      <c r="D63" s="2"/>
      <c r="E63" s="74"/>
      <c r="F63" s="74"/>
      <c r="G63" s="74"/>
      <c r="H63" s="2"/>
      <c r="I63" s="2"/>
      <c r="J63" s="2"/>
      <c r="K63" s="2"/>
      <c r="L63" s="2"/>
      <c r="M63" s="2"/>
      <c r="N63" s="2"/>
    </row>
    <row r="64" spans="1:14" x14ac:dyDescent="0.3">
      <c r="A64" s="3"/>
      <c r="B64" s="67" t="s">
        <v>43</v>
      </c>
      <c r="C64" s="68" t="s">
        <v>305</v>
      </c>
      <c r="D64" s="66"/>
      <c r="E64" s="66"/>
      <c r="F64" s="75"/>
      <c r="G64" s="75"/>
      <c r="H64" s="66"/>
      <c r="I64" s="66"/>
      <c r="J64" s="66"/>
      <c r="K64" s="66"/>
      <c r="L64" s="66"/>
      <c r="M64" s="66"/>
      <c r="N64" s="66"/>
    </row>
    <row r="65" spans="1:14" x14ac:dyDescent="0.3">
      <c r="A65" s="3"/>
      <c r="B65" s="66"/>
      <c r="C65" s="66"/>
      <c r="D65" s="66"/>
      <c r="E65" s="66"/>
      <c r="F65" s="66"/>
      <c r="G65" s="66"/>
      <c r="H65" s="66"/>
      <c r="I65" s="66"/>
      <c r="J65" s="66"/>
      <c r="K65" s="66"/>
      <c r="L65" s="66"/>
      <c r="M65" s="66"/>
      <c r="N65" s="66"/>
    </row>
    <row r="66" spans="1:14" ht="87.6" customHeight="1" x14ac:dyDescent="0.3">
      <c r="A66" s="3"/>
      <c r="B66" s="295" t="s">
        <v>44</v>
      </c>
      <c r="C66" s="295" t="s">
        <v>306</v>
      </c>
      <c r="D66" s="295" t="s">
        <v>68</v>
      </c>
      <c r="E66" s="297" t="s">
        <v>45</v>
      </c>
      <c r="F66" s="292" t="s">
        <v>254</v>
      </c>
      <c r="G66" s="293"/>
      <c r="H66" s="294"/>
      <c r="I66" s="292" t="s">
        <v>255</v>
      </c>
      <c r="J66" s="293"/>
      <c r="K66" s="294"/>
      <c r="L66" s="292" t="s">
        <v>197</v>
      </c>
      <c r="M66" s="293"/>
      <c r="N66" s="294"/>
    </row>
    <row r="67" spans="1:14" ht="61.2" x14ac:dyDescent="0.3">
      <c r="A67" s="3"/>
      <c r="B67" s="296"/>
      <c r="C67" s="296"/>
      <c r="D67" s="296"/>
      <c r="E67" s="298"/>
      <c r="F67" s="67" t="s">
        <v>46</v>
      </c>
      <c r="G67" s="67" t="s">
        <v>47</v>
      </c>
      <c r="H67" s="67" t="s">
        <v>48</v>
      </c>
      <c r="I67" s="67" t="s">
        <v>49</v>
      </c>
      <c r="J67" s="67" t="s">
        <v>47</v>
      </c>
      <c r="K67" s="67" t="s">
        <v>48</v>
      </c>
      <c r="L67" s="67" t="s">
        <v>49</v>
      </c>
      <c r="M67" s="67" t="s">
        <v>47</v>
      </c>
      <c r="N67" s="67" t="s">
        <v>48</v>
      </c>
    </row>
    <row r="68" spans="1:14" ht="105" customHeight="1" x14ac:dyDescent="0.3">
      <c r="A68" s="3"/>
      <c r="B68" s="67" t="s">
        <v>803</v>
      </c>
      <c r="C68" s="81">
        <v>133</v>
      </c>
      <c r="D68" s="82">
        <v>68.400000000000006</v>
      </c>
      <c r="E68" s="82">
        <v>77.349999999999994</v>
      </c>
      <c r="F68" s="121">
        <v>65</v>
      </c>
      <c r="G68" s="121">
        <v>103.45</v>
      </c>
      <c r="H68" s="121">
        <v>61.05</v>
      </c>
      <c r="I68" s="121">
        <v>144.44999999999999</v>
      </c>
      <c r="J68" s="121">
        <v>171</v>
      </c>
      <c r="K68" s="121">
        <v>70.05</v>
      </c>
      <c r="L68" s="121">
        <v>306.5</v>
      </c>
      <c r="M68" s="121">
        <v>355</v>
      </c>
      <c r="N68" s="121">
        <v>147</v>
      </c>
    </row>
    <row r="69" spans="1:14" ht="40.799999999999997" x14ac:dyDescent="0.3">
      <c r="A69" s="3"/>
      <c r="B69" s="69" t="s">
        <v>67</v>
      </c>
      <c r="C69" s="82">
        <v>19811.349999999999</v>
      </c>
      <c r="D69" s="82">
        <v>19395.3</v>
      </c>
      <c r="E69" s="82">
        <v>21513</v>
      </c>
      <c r="F69" s="121">
        <v>22326.9</v>
      </c>
      <c r="G69" s="81">
        <v>22526.6</v>
      </c>
      <c r="H69" s="121">
        <v>17312.75</v>
      </c>
      <c r="I69" s="121">
        <v>23519.35</v>
      </c>
      <c r="J69" s="121">
        <v>26277.35</v>
      </c>
      <c r="K69" s="121">
        <v>21281.45</v>
      </c>
      <c r="L69" s="121">
        <v>22331.4</v>
      </c>
      <c r="M69" s="121">
        <v>26373.200000000001</v>
      </c>
      <c r="N69" s="121">
        <v>21743.65</v>
      </c>
    </row>
    <row r="70" spans="1:14" x14ac:dyDescent="0.3">
      <c r="A70" s="3"/>
      <c r="B70" s="253" t="s">
        <v>99</v>
      </c>
      <c r="C70" s="270"/>
      <c r="D70" s="270"/>
      <c r="E70" s="270"/>
      <c r="F70" s="270"/>
      <c r="G70" s="270"/>
      <c r="H70" s="270"/>
      <c r="I70" s="270"/>
      <c r="J70" s="270"/>
      <c r="K70" s="270"/>
      <c r="L70" s="270"/>
      <c r="M70" s="270"/>
      <c r="N70" s="254"/>
    </row>
    <row r="71" spans="1:14" x14ac:dyDescent="0.3">
      <c r="A71" s="3"/>
      <c r="B71" s="253" t="s">
        <v>801</v>
      </c>
      <c r="C71" s="270"/>
      <c r="D71" s="270"/>
      <c r="E71" s="270"/>
      <c r="F71" s="254"/>
      <c r="G71" s="83"/>
      <c r="H71" s="83"/>
      <c r="I71" s="83"/>
      <c r="J71" s="83"/>
      <c r="K71" s="83"/>
      <c r="L71" s="83"/>
      <c r="M71" s="83"/>
      <c r="N71" s="83"/>
    </row>
    <row r="72" spans="1:14" ht="51.75" customHeight="1" x14ac:dyDescent="0.3">
      <c r="A72" s="3"/>
      <c r="B72" s="253" t="s">
        <v>760</v>
      </c>
      <c r="C72" s="270"/>
      <c r="D72" s="270"/>
      <c r="E72" s="270"/>
      <c r="F72" s="254"/>
      <c r="G72" s="83"/>
      <c r="H72" s="83"/>
      <c r="I72" s="83"/>
      <c r="J72" s="83"/>
      <c r="K72" s="83"/>
      <c r="L72" s="83"/>
      <c r="M72" s="83"/>
      <c r="N72" s="83"/>
    </row>
    <row r="73" spans="1:14" x14ac:dyDescent="0.3">
      <c r="A73" s="3"/>
      <c r="B73" s="253" t="s">
        <v>71</v>
      </c>
      <c r="C73" s="270"/>
      <c r="D73" s="270"/>
      <c r="E73" s="270"/>
      <c r="F73" s="254"/>
      <c r="G73" s="83"/>
      <c r="H73" s="83"/>
      <c r="I73" s="83"/>
      <c r="J73" s="83"/>
      <c r="K73" s="83"/>
      <c r="L73" s="83"/>
      <c r="M73" s="83"/>
      <c r="N73" s="83"/>
    </row>
    <row r="74" spans="1:14" ht="20.25" hidden="1" customHeight="1" x14ac:dyDescent="0.3">
      <c r="A74" s="3"/>
      <c r="B74" s="270" t="s">
        <v>641</v>
      </c>
      <c r="C74" s="270"/>
      <c r="D74" s="84"/>
      <c r="E74" s="84"/>
      <c r="F74" s="84"/>
      <c r="G74" s="10"/>
      <c r="H74" s="10"/>
      <c r="I74" s="10"/>
      <c r="J74" s="10"/>
      <c r="K74" s="10"/>
      <c r="L74" s="10"/>
      <c r="M74" s="10"/>
      <c r="N74" s="10"/>
    </row>
    <row r="75" spans="1:14" ht="39" customHeight="1" x14ac:dyDescent="0.3">
      <c r="A75" s="3">
        <v>13</v>
      </c>
      <c r="B75" s="261" t="s">
        <v>51</v>
      </c>
      <c r="C75" s="262"/>
      <c r="D75" s="262"/>
      <c r="E75" s="262"/>
      <c r="F75" s="262"/>
      <c r="G75" s="263"/>
      <c r="H75" s="2"/>
      <c r="I75" s="2"/>
      <c r="J75" s="2"/>
      <c r="K75" s="2"/>
      <c r="L75" s="2"/>
      <c r="M75" s="2"/>
      <c r="N75" s="2"/>
    </row>
    <row r="76" spans="1:14" x14ac:dyDescent="0.3">
      <c r="A76" s="3"/>
      <c r="C76" s="66"/>
      <c r="D76" s="66"/>
      <c r="E76" s="66"/>
      <c r="F76" s="66"/>
      <c r="G76" s="66"/>
      <c r="H76" s="66"/>
      <c r="I76" s="66"/>
      <c r="J76" s="66"/>
      <c r="K76" s="66"/>
      <c r="L76" s="66"/>
      <c r="M76" s="66"/>
      <c r="N76" s="66"/>
    </row>
    <row r="77" spans="1:14" ht="61.2" x14ac:dyDescent="0.3">
      <c r="A77" s="3"/>
      <c r="B77" s="25" t="s">
        <v>52</v>
      </c>
      <c r="C77" s="25" t="s">
        <v>53</v>
      </c>
      <c r="D77" s="25" t="s">
        <v>259</v>
      </c>
      <c r="E77" s="25" t="s">
        <v>54</v>
      </c>
      <c r="F77" s="24" t="s">
        <v>55</v>
      </c>
      <c r="G77" s="25" t="s">
        <v>56</v>
      </c>
      <c r="H77" s="10"/>
      <c r="I77" s="10"/>
      <c r="J77" s="10"/>
      <c r="K77" s="10"/>
      <c r="L77" s="10"/>
      <c r="M77" s="10"/>
      <c r="N77" s="10"/>
    </row>
    <row r="78" spans="1:14" ht="21" customHeight="1" x14ac:dyDescent="0.3">
      <c r="A78" s="3"/>
      <c r="B78" s="297" t="s">
        <v>72</v>
      </c>
      <c r="C78" s="54" t="s">
        <v>307</v>
      </c>
      <c r="D78" s="134">
        <v>4.07</v>
      </c>
      <c r="E78" s="88">
        <v>2.12</v>
      </c>
      <c r="F78" s="88">
        <v>5.93</v>
      </c>
      <c r="G78" s="88">
        <v>3.29</v>
      </c>
    </row>
    <row r="79" spans="1:14" ht="21" customHeight="1" x14ac:dyDescent="0.3">
      <c r="A79" s="3"/>
      <c r="B79" s="309"/>
      <c r="C79" s="54" t="s">
        <v>237</v>
      </c>
      <c r="D79" s="135"/>
      <c r="E79" s="88"/>
      <c r="F79" s="88"/>
      <c r="G79" s="88"/>
    </row>
    <row r="80" spans="1:14" ht="21" customHeight="1" x14ac:dyDescent="0.3">
      <c r="A80" s="3"/>
      <c r="B80" s="309"/>
      <c r="C80" s="5" t="s">
        <v>660</v>
      </c>
      <c r="D80" s="135">
        <v>6.19</v>
      </c>
      <c r="E80" s="88">
        <v>7.67</v>
      </c>
      <c r="F80" s="88">
        <v>4.47</v>
      </c>
      <c r="G80" s="88">
        <v>5.49</v>
      </c>
    </row>
    <row r="81" spans="1:17" ht="21" customHeight="1" x14ac:dyDescent="0.3">
      <c r="A81" s="3"/>
      <c r="B81" s="309"/>
      <c r="C81" s="5" t="s">
        <v>662</v>
      </c>
      <c r="D81" s="135">
        <v>3.2</v>
      </c>
      <c r="E81" s="88">
        <v>-3.56</v>
      </c>
      <c r="F81" s="88">
        <v>0.12</v>
      </c>
      <c r="G81" s="88">
        <v>0.56999999999999995</v>
      </c>
    </row>
    <row r="82" spans="1:17" ht="21" customHeight="1" x14ac:dyDescent="0.3">
      <c r="A82" s="3"/>
      <c r="B82" s="309"/>
      <c r="C82" s="5" t="s">
        <v>663</v>
      </c>
      <c r="D82" s="135">
        <v>10.65</v>
      </c>
      <c r="E82" s="88">
        <v>10.85</v>
      </c>
      <c r="F82" s="88">
        <v>8.3800000000000008</v>
      </c>
      <c r="G82" s="88">
        <v>9.0500000000000007</v>
      </c>
    </row>
    <row r="83" spans="1:17" ht="21" customHeight="1" x14ac:dyDescent="0.3">
      <c r="A83" s="3"/>
      <c r="B83" s="298"/>
      <c r="C83" s="54" t="s">
        <v>295</v>
      </c>
      <c r="D83" s="135">
        <f>AVERAGE(D80:D82)</f>
        <v>6.68</v>
      </c>
      <c r="E83" s="88">
        <v>4.9800000000000004</v>
      </c>
      <c r="F83" s="90">
        <f>AVERAGE(F80:F82)</f>
        <v>4.3233333333333333</v>
      </c>
      <c r="G83" s="90">
        <f>AVERAGE(G80:G82)</f>
        <v>5.0366666666666671</v>
      </c>
      <c r="O83" s="1" t="s">
        <v>49</v>
      </c>
    </row>
    <row r="84" spans="1:17" x14ac:dyDescent="0.3">
      <c r="A84" s="3"/>
      <c r="B84" s="297" t="s">
        <v>59</v>
      </c>
      <c r="C84" s="54" t="s">
        <v>307</v>
      </c>
      <c r="D84" s="135">
        <v>24.3</v>
      </c>
      <c r="E84" s="88">
        <v>30.66</v>
      </c>
      <c r="F84" s="90">
        <f>O84/F78</f>
        <v>24.359190556492411</v>
      </c>
      <c r="G84" s="90">
        <f>L68/G78</f>
        <v>93.161094224924014</v>
      </c>
      <c r="O84" s="81">
        <v>144.44999999999999</v>
      </c>
    </row>
    <row r="85" spans="1:17" x14ac:dyDescent="0.3">
      <c r="A85" s="3"/>
      <c r="B85" s="309"/>
      <c r="C85" s="54" t="s">
        <v>237</v>
      </c>
      <c r="D85" s="135"/>
      <c r="E85" s="88"/>
      <c r="F85" s="90"/>
      <c r="G85" s="88"/>
      <c r="O85" s="172"/>
    </row>
    <row r="86" spans="1:17" x14ac:dyDescent="0.3">
      <c r="A86" s="3"/>
      <c r="B86" s="309"/>
      <c r="C86" s="5" t="s">
        <v>308</v>
      </c>
      <c r="D86" s="135">
        <v>13.57</v>
      </c>
      <c r="E86" s="88">
        <v>35.369999999999997</v>
      </c>
      <c r="F86" s="90">
        <f>O86/F80</f>
        <v>17.293064876957494</v>
      </c>
      <c r="G86" s="90">
        <f>70/G80</f>
        <v>12.750455373406192</v>
      </c>
      <c r="O86" s="172">
        <v>77.3</v>
      </c>
    </row>
    <row r="87" spans="1:17" x14ac:dyDescent="0.3">
      <c r="A87" s="3"/>
      <c r="B87" s="309"/>
      <c r="C87" s="5" t="s">
        <v>309</v>
      </c>
      <c r="D87" s="135">
        <v>14.98</v>
      </c>
      <c r="E87" s="88">
        <v>-8.44</v>
      </c>
      <c r="F87" s="90">
        <f>O87/F81</f>
        <v>114.83333333333333</v>
      </c>
      <c r="G87" s="90">
        <f>22.62/G81</f>
        <v>39.684210526315795</v>
      </c>
      <c r="O87" s="172">
        <v>13.78</v>
      </c>
    </row>
    <row r="88" spans="1:17" x14ac:dyDescent="0.3">
      <c r="A88" s="3"/>
      <c r="B88" s="309"/>
      <c r="C88" s="5" t="s">
        <v>310</v>
      </c>
      <c r="D88" s="135">
        <v>18.3</v>
      </c>
      <c r="E88" s="88">
        <v>13.3</v>
      </c>
      <c r="F88" s="90">
        <f>O88/F82</f>
        <v>5.0238663484486867</v>
      </c>
      <c r="G88" s="90">
        <f>42.95/G82</f>
        <v>4.7458563535911598</v>
      </c>
      <c r="O88" s="172">
        <v>42.1</v>
      </c>
    </row>
    <row r="89" spans="1:17" ht="63" x14ac:dyDescent="0.3">
      <c r="A89" s="3"/>
      <c r="B89" s="298"/>
      <c r="C89" s="54" t="s">
        <v>295</v>
      </c>
      <c r="D89" s="153">
        <f>AVERAGE(D86:D88)</f>
        <v>15.616666666666667</v>
      </c>
      <c r="E89" s="88">
        <v>13.41</v>
      </c>
      <c r="F89" s="90">
        <f>AVERAGE(F86:F88)</f>
        <v>45.716754852913169</v>
      </c>
      <c r="G89" s="90">
        <f>AVERAGE(G86:G88)</f>
        <v>19.060174084437715</v>
      </c>
      <c r="O89" s="1" t="s">
        <v>655</v>
      </c>
      <c r="P89" s="1" t="s">
        <v>645</v>
      </c>
    </row>
    <row r="90" spans="1:17" x14ac:dyDescent="0.3">
      <c r="A90" s="3"/>
      <c r="B90" s="297" t="s">
        <v>60</v>
      </c>
      <c r="C90" s="54" t="s">
        <v>307</v>
      </c>
      <c r="D90" s="142">
        <v>0.95089999999999997</v>
      </c>
      <c r="E90" s="137">
        <v>0.35120000000000001</v>
      </c>
      <c r="F90" s="110">
        <f>O90/P90</f>
        <v>0.15343979903104252</v>
      </c>
      <c r="G90" s="110">
        <v>2.0199999999999999E-2</v>
      </c>
      <c r="O90" s="1">
        <v>213.78</v>
      </c>
      <c r="P90" s="1">
        <v>1393.25</v>
      </c>
      <c r="Q90" s="1">
        <v>139325000</v>
      </c>
    </row>
    <row r="91" spans="1:17" x14ac:dyDescent="0.3">
      <c r="A91" s="3"/>
      <c r="B91" s="309"/>
      <c r="C91" s="54" t="s">
        <v>237</v>
      </c>
      <c r="D91" s="135"/>
      <c r="E91" s="129"/>
      <c r="F91" s="110"/>
      <c r="G91" s="88"/>
    </row>
    <row r="92" spans="1:17" x14ac:dyDescent="0.3">
      <c r="A92" s="3"/>
      <c r="B92" s="309"/>
      <c r="C92" s="5" t="s">
        <v>308</v>
      </c>
      <c r="D92" s="142">
        <v>0.157</v>
      </c>
      <c r="E92" s="137">
        <v>0.1628</v>
      </c>
      <c r="F92" s="110">
        <f>O92/P92</f>
        <v>8.6746024695744883E-2</v>
      </c>
      <c r="G92" s="88">
        <v>9.6199999999999992</v>
      </c>
      <c r="O92" s="1">
        <v>78.12</v>
      </c>
      <c r="P92" s="1">
        <v>900.56</v>
      </c>
      <c r="Q92" s="1">
        <v>90056000</v>
      </c>
    </row>
    <row r="93" spans="1:17" x14ac:dyDescent="0.3">
      <c r="A93" s="3"/>
      <c r="B93" s="309"/>
      <c r="C93" s="5" t="s">
        <v>309</v>
      </c>
      <c r="D93" s="142">
        <v>0.13880000000000001</v>
      </c>
      <c r="E93" s="110">
        <v>-0.182</v>
      </c>
      <c r="F93" s="110">
        <f>O93/P93</f>
        <v>6.1803217358772913E-3</v>
      </c>
      <c r="G93" s="90">
        <v>2.8</v>
      </c>
      <c r="O93" s="1">
        <v>12.39</v>
      </c>
      <c r="P93" s="58">
        <v>2004.75</v>
      </c>
      <c r="Q93" s="1">
        <v>200475000</v>
      </c>
    </row>
    <row r="94" spans="1:17" x14ac:dyDescent="0.3">
      <c r="A94" s="3"/>
      <c r="B94" s="309"/>
      <c r="C94" s="5" t="s">
        <v>310</v>
      </c>
      <c r="D94" s="142">
        <v>0.22439999999999999</v>
      </c>
      <c r="E94" s="110">
        <v>0.186</v>
      </c>
      <c r="F94" s="110">
        <f>O94/P94</f>
        <v>0.22329775193118981</v>
      </c>
      <c r="G94" s="110">
        <v>0.19420000000000001</v>
      </c>
      <c r="O94" s="1">
        <v>585.94000000000005</v>
      </c>
      <c r="P94" s="58">
        <v>2624.03</v>
      </c>
      <c r="Q94" s="1">
        <v>262403000</v>
      </c>
    </row>
    <row r="95" spans="1:17" ht="63" x14ac:dyDescent="0.3">
      <c r="A95" s="3"/>
      <c r="B95" s="298"/>
      <c r="C95" s="54" t="s">
        <v>295</v>
      </c>
      <c r="D95" s="142">
        <f>AVERAGE(D92:D94)</f>
        <v>0.1734</v>
      </c>
      <c r="E95" s="110">
        <v>5.5599999999999997E-2</v>
      </c>
      <c r="F95" s="110">
        <f>AVERAGE(F92:F94)</f>
        <v>0.10540803278760398</v>
      </c>
      <c r="G95" s="110">
        <f>AVERAGE(G92:G94)</f>
        <v>4.2047333333333325</v>
      </c>
      <c r="O95" s="1" t="s">
        <v>659</v>
      </c>
    </row>
    <row r="96" spans="1:17" x14ac:dyDescent="0.3">
      <c r="A96" s="3"/>
      <c r="B96" s="310" t="s">
        <v>61</v>
      </c>
      <c r="C96" s="54" t="s">
        <v>307</v>
      </c>
      <c r="D96" s="135">
        <v>4.28</v>
      </c>
      <c r="E96" s="88">
        <v>5.17</v>
      </c>
      <c r="F96" s="90">
        <f>Q90/O96</f>
        <v>38.66058049836284</v>
      </c>
      <c r="G96" s="88">
        <v>124.61</v>
      </c>
      <c r="O96" s="172">
        <v>3603800</v>
      </c>
    </row>
    <row r="97" spans="1:16" x14ac:dyDescent="0.3">
      <c r="A97" s="3"/>
      <c r="B97" s="310"/>
      <c r="C97" s="54" t="s">
        <v>237</v>
      </c>
      <c r="D97" s="135"/>
      <c r="E97" s="88"/>
      <c r="F97" s="90"/>
      <c r="G97" s="54"/>
      <c r="O97" s="172"/>
    </row>
    <row r="98" spans="1:16" ht="42" x14ac:dyDescent="0.3">
      <c r="A98" s="3"/>
      <c r="B98" s="310"/>
      <c r="C98" s="5" t="s">
        <v>308</v>
      </c>
      <c r="D98" s="151">
        <v>39.42</v>
      </c>
      <c r="E98" s="152">
        <v>47.08</v>
      </c>
      <c r="F98" s="90">
        <f>Q92/P98</f>
        <v>51.513556801281318</v>
      </c>
      <c r="G98" s="121">
        <v>57</v>
      </c>
      <c r="O98" s="172" t="s">
        <v>661</v>
      </c>
      <c r="P98" s="1">
        <v>1748200</v>
      </c>
    </row>
    <row r="99" spans="1:16" x14ac:dyDescent="0.3">
      <c r="A99" s="3"/>
      <c r="B99" s="310"/>
      <c r="C99" s="5" t="s">
        <v>309</v>
      </c>
      <c r="D99" s="134">
        <v>23.09</v>
      </c>
      <c r="E99" s="152">
        <v>19.53</v>
      </c>
      <c r="F99" s="90">
        <f>Q93/P99</f>
        <v>19.654411764705884</v>
      </c>
      <c r="G99" s="228">
        <v>20.22</v>
      </c>
      <c r="O99" s="172">
        <v>10200000</v>
      </c>
      <c r="P99" s="172">
        <v>10200000</v>
      </c>
    </row>
    <row r="100" spans="1:16" ht="42" x14ac:dyDescent="0.3">
      <c r="A100" s="3"/>
      <c r="B100" s="310"/>
      <c r="C100" s="5" t="s">
        <v>310</v>
      </c>
      <c r="D100" s="134">
        <v>47.48</v>
      </c>
      <c r="E100" s="152">
        <v>58.33</v>
      </c>
      <c r="F100" s="90">
        <f>Q94/P100</f>
        <v>37.550515168860905</v>
      </c>
      <c r="G100" s="229">
        <v>46.6</v>
      </c>
      <c r="O100" s="172" t="s">
        <v>664</v>
      </c>
      <c r="P100" s="1">
        <v>6988000</v>
      </c>
    </row>
    <row r="101" spans="1:16" x14ac:dyDescent="0.4">
      <c r="A101" s="3"/>
      <c r="B101" s="310"/>
      <c r="C101" s="54" t="s">
        <v>295</v>
      </c>
      <c r="D101" s="155">
        <f>AVERAGE(D98:D100)</f>
        <v>36.663333333333334</v>
      </c>
      <c r="E101" s="156">
        <v>41.64</v>
      </c>
      <c r="F101" s="179">
        <f>AVERAGE(F98:F100)</f>
        <v>36.239494578282695</v>
      </c>
      <c r="G101" s="179">
        <f>AVERAGE(G98:G100)</f>
        <v>41.273333333333333</v>
      </c>
    </row>
    <row r="102" spans="1:16" x14ac:dyDescent="0.3">
      <c r="A102" s="3"/>
      <c r="B102" s="301"/>
      <c r="C102" s="302"/>
      <c r="D102" s="302"/>
      <c r="E102" s="302"/>
      <c r="F102" s="302"/>
      <c r="G102" s="303"/>
    </row>
    <row r="103" spans="1:16" s="2" customFormat="1" x14ac:dyDescent="0.3">
      <c r="B103" s="253" t="s">
        <v>82</v>
      </c>
      <c r="C103" s="270"/>
      <c r="D103" s="270"/>
      <c r="E103" s="270"/>
      <c r="F103" s="270"/>
      <c r="G103" s="254"/>
    </row>
    <row r="104" spans="1:16" x14ac:dyDescent="0.3">
      <c r="A104" s="3"/>
      <c r="B104" s="253" t="s">
        <v>301</v>
      </c>
      <c r="C104" s="270"/>
      <c r="D104" s="270"/>
      <c r="E104" s="270"/>
      <c r="F104" s="270"/>
      <c r="G104" s="254"/>
    </row>
    <row r="105" spans="1:16" ht="42.75" customHeight="1" x14ac:dyDescent="0.3">
      <c r="B105" s="403" t="s">
        <v>761</v>
      </c>
      <c r="C105" s="403"/>
      <c r="D105" s="403"/>
      <c r="E105" s="403"/>
      <c r="F105" s="403"/>
      <c r="G105" s="403"/>
    </row>
    <row r="106" spans="1:16" x14ac:dyDescent="0.3">
      <c r="A106" s="3">
        <v>14</v>
      </c>
      <c r="B106" s="54" t="s">
        <v>63</v>
      </c>
      <c r="C106" s="307" t="s">
        <v>50</v>
      </c>
      <c r="D106" s="308"/>
      <c r="E106" s="308"/>
      <c r="F106" s="308"/>
      <c r="G106" s="249"/>
    </row>
    <row r="107" spans="1:16" x14ac:dyDescent="0.3">
      <c r="C107" s="55"/>
      <c r="D107" s="55"/>
      <c r="E107" s="55"/>
      <c r="F107" s="55"/>
      <c r="G107" s="55"/>
    </row>
    <row r="108" spans="1:16" x14ac:dyDescent="0.3">
      <c r="B108" s="299" t="s">
        <v>302</v>
      </c>
      <c r="C108" s="299"/>
      <c r="D108" s="299"/>
      <c r="E108" s="299"/>
      <c r="F108" s="299"/>
      <c r="G108" s="299"/>
      <c r="H108" s="299"/>
    </row>
    <row r="113" spans="4:5" x14ac:dyDescent="0.3">
      <c r="D113" s="56"/>
      <c r="E113" s="56"/>
    </row>
    <row r="114" spans="4:5" x14ac:dyDescent="0.3">
      <c r="E114" s="56"/>
    </row>
  </sheetData>
  <mergeCells count="61">
    <mergeCell ref="B96:B101"/>
    <mergeCell ref="B74:C74"/>
    <mergeCell ref="B108:H108"/>
    <mergeCell ref="B102:G102"/>
    <mergeCell ref="B103:G103"/>
    <mergeCell ref="B104:G104"/>
    <mergeCell ref="C106:G106"/>
    <mergeCell ref="B105:G105"/>
    <mergeCell ref="B73:F73"/>
    <mergeCell ref="B75:G75"/>
    <mergeCell ref="B78:B83"/>
    <mergeCell ref="B84:B89"/>
    <mergeCell ref="B90:B95"/>
    <mergeCell ref="L66:N66"/>
    <mergeCell ref="B70:N70"/>
    <mergeCell ref="I66:K66"/>
    <mergeCell ref="B72:F72"/>
    <mergeCell ref="B71:F71"/>
    <mergeCell ref="B66:B67"/>
    <mergeCell ref="C66:C67"/>
    <mergeCell ref="D66:D67"/>
    <mergeCell ref="E66:E67"/>
    <mergeCell ref="F66:H66"/>
    <mergeCell ref="C62:E62"/>
    <mergeCell ref="C44:E44"/>
    <mergeCell ref="B45:E45"/>
    <mergeCell ref="B47:E47"/>
    <mergeCell ref="B50:E50"/>
    <mergeCell ref="B53:E53"/>
    <mergeCell ref="B54:B55"/>
    <mergeCell ref="C54:E55"/>
    <mergeCell ref="C56:E56"/>
    <mergeCell ref="C57:E57"/>
    <mergeCell ref="B58:E58"/>
    <mergeCell ref="C60:E60"/>
    <mergeCell ref="C61:E61"/>
    <mergeCell ref="B59:D59"/>
    <mergeCell ref="C43:E43"/>
    <mergeCell ref="C22:E22"/>
    <mergeCell ref="C23:E23"/>
    <mergeCell ref="C24:E24"/>
    <mergeCell ref="B26:E26"/>
    <mergeCell ref="B27:E27"/>
    <mergeCell ref="B33:E33"/>
    <mergeCell ref="B35:E35"/>
    <mergeCell ref="B39:D39"/>
    <mergeCell ref="B41:E41"/>
    <mergeCell ref="C42:E42"/>
    <mergeCell ref="B25:E25"/>
    <mergeCell ref="C21:E21"/>
    <mergeCell ref="A1:B1"/>
    <mergeCell ref="C5:E5"/>
    <mergeCell ref="B6:D6"/>
    <mergeCell ref="B9:D9"/>
    <mergeCell ref="C11:E11"/>
    <mergeCell ref="B12:D12"/>
    <mergeCell ref="C14:E14"/>
    <mergeCell ref="B15:D15"/>
    <mergeCell ref="B17:C17"/>
    <mergeCell ref="B19:E19"/>
    <mergeCell ref="C20:E20"/>
  </mergeCells>
  <pageMargins left="0.70866141732283472" right="0.70866141732283472" top="0.74803149606299213" bottom="0.74803149606299213" header="0.31496062992125984" footer="0.31496062992125984"/>
  <pageSetup paperSize="9" scale="29" fitToWidth="70" fitToHeight="2" orientation="landscape" horizontalDpi="4294967292"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1F8D1-C22B-4EF4-9E41-4BAD4D3E700E}">
  <sheetPr>
    <pageSetUpPr fitToPage="1"/>
  </sheetPr>
  <dimension ref="A1:N116"/>
  <sheetViews>
    <sheetView topLeftCell="A89" zoomScale="65" zoomScaleNormal="44" workbookViewId="0">
      <selection activeCell="G102" sqref="G102"/>
    </sheetView>
  </sheetViews>
  <sheetFormatPr defaultColWidth="8.6640625" defaultRowHeight="21" x14ac:dyDescent="0.3"/>
  <cols>
    <col min="1" max="1" width="8.6640625" style="1"/>
    <col min="2" max="2" width="58.33203125" style="1" customWidth="1"/>
    <col min="3" max="3" width="81" style="1" customWidth="1"/>
    <col min="4" max="4" width="73.109375" style="1" customWidth="1"/>
    <col min="5" max="5" width="27.6640625" style="1" customWidth="1"/>
    <col min="6" max="6" width="14.21875" style="1" customWidth="1"/>
    <col min="7" max="7" width="14.5546875" style="1" customWidth="1"/>
    <col min="8" max="8" width="22.6640625" style="1" customWidth="1"/>
    <col min="9" max="9" width="15.5546875" style="1" customWidth="1"/>
    <col min="10" max="10" width="14.88671875" style="1" customWidth="1"/>
    <col min="11" max="11" width="15.77734375" style="1" customWidth="1"/>
    <col min="12" max="14" width="12.88671875" style="1" bestFit="1" customWidth="1"/>
    <col min="15" max="16384" width="8.6640625" style="1"/>
  </cols>
  <sheetData>
    <row r="1" spans="1:5" ht="20.25" customHeight="1" x14ac:dyDescent="0.3">
      <c r="A1" s="246" t="s">
        <v>0</v>
      </c>
      <c r="B1" s="246"/>
      <c r="D1" s="2"/>
    </row>
    <row r="3" spans="1:5" ht="40.799999999999997" x14ac:dyDescent="0.3">
      <c r="A3" s="3" t="s">
        <v>1</v>
      </c>
      <c r="B3" s="54" t="s">
        <v>2</v>
      </c>
      <c r="C3" s="5" t="s">
        <v>311</v>
      </c>
    </row>
    <row r="4" spans="1:5" x14ac:dyDescent="0.3">
      <c r="D4" s="22"/>
    </row>
    <row r="5" spans="1:5" x14ac:dyDescent="0.3">
      <c r="A5" s="62">
        <v>1</v>
      </c>
      <c r="B5" s="63" t="s">
        <v>3</v>
      </c>
      <c r="C5" s="247" t="s">
        <v>799</v>
      </c>
      <c r="D5" s="248"/>
      <c r="E5" s="249"/>
    </row>
    <row r="6" spans="1:5" x14ac:dyDescent="0.3">
      <c r="A6" s="3"/>
      <c r="B6" s="250" t="s">
        <v>4</v>
      </c>
      <c r="C6" s="251"/>
      <c r="D6" s="252"/>
      <c r="E6" s="10"/>
    </row>
    <row r="7" spans="1:5" x14ac:dyDescent="0.3">
      <c r="A7" s="3"/>
      <c r="B7" s="2"/>
      <c r="D7" s="22"/>
    </row>
    <row r="8" spans="1:5" x14ac:dyDescent="0.3">
      <c r="A8" s="3">
        <v>2</v>
      </c>
      <c r="B8" s="63" t="s">
        <v>5</v>
      </c>
      <c r="C8" s="12" t="s">
        <v>312</v>
      </c>
      <c r="D8" s="22"/>
    </row>
    <row r="9" spans="1:5" x14ac:dyDescent="0.3">
      <c r="A9" s="3"/>
      <c r="B9" s="250" t="s">
        <v>4</v>
      </c>
      <c r="C9" s="251"/>
      <c r="D9" s="252"/>
    </row>
    <row r="10" spans="1:5" x14ac:dyDescent="0.3">
      <c r="A10" s="3"/>
      <c r="B10" s="2"/>
      <c r="D10" s="22"/>
    </row>
    <row r="11" spans="1:5" ht="40.950000000000003" customHeight="1" x14ac:dyDescent="0.3">
      <c r="A11" s="3">
        <v>3</v>
      </c>
      <c r="B11" s="63" t="s">
        <v>6</v>
      </c>
      <c r="C11" s="247" t="s">
        <v>90</v>
      </c>
      <c r="D11" s="248"/>
      <c r="E11" s="249"/>
    </row>
    <row r="12" spans="1:5" x14ac:dyDescent="0.3">
      <c r="A12" s="3"/>
      <c r="B12" s="250" t="s">
        <v>4</v>
      </c>
      <c r="C12" s="251"/>
      <c r="D12" s="252"/>
      <c r="E12" s="10"/>
    </row>
    <row r="13" spans="1:5" x14ac:dyDescent="0.3">
      <c r="A13" s="3"/>
      <c r="B13" s="2"/>
      <c r="D13" s="22"/>
    </row>
    <row r="14" spans="1:5" x14ac:dyDescent="0.3">
      <c r="A14" s="3">
        <v>4</v>
      </c>
      <c r="B14" s="54" t="s">
        <v>92</v>
      </c>
      <c r="C14" s="247" t="s">
        <v>90</v>
      </c>
      <c r="D14" s="248"/>
      <c r="E14" s="249"/>
    </row>
    <row r="15" spans="1:5" x14ac:dyDescent="0.3">
      <c r="A15" s="3"/>
      <c r="B15" s="250" t="s">
        <v>4</v>
      </c>
      <c r="C15" s="251"/>
      <c r="D15" s="252"/>
    </row>
    <row r="16" spans="1:5" x14ac:dyDescent="0.3">
      <c r="A16" s="3">
        <v>4</v>
      </c>
      <c r="B16" s="54" t="s">
        <v>7</v>
      </c>
      <c r="C16" s="5" t="s">
        <v>586</v>
      </c>
      <c r="D16" s="22"/>
    </row>
    <row r="17" spans="1:14" x14ac:dyDescent="0.3">
      <c r="A17" s="3"/>
      <c r="B17" s="253" t="s">
        <v>8</v>
      </c>
      <c r="C17" s="254"/>
      <c r="D17" s="22"/>
    </row>
    <row r="18" spans="1:14" x14ac:dyDescent="0.3">
      <c r="A18" s="3"/>
      <c r="D18" s="22"/>
    </row>
    <row r="19" spans="1:14" x14ac:dyDescent="0.3">
      <c r="A19" s="3">
        <v>5</v>
      </c>
      <c r="B19" s="255" t="s">
        <v>9</v>
      </c>
      <c r="C19" s="256"/>
      <c r="D19" s="256"/>
      <c r="E19" s="257"/>
      <c r="F19" s="2"/>
      <c r="G19" s="2"/>
      <c r="H19" s="2"/>
      <c r="I19" s="2"/>
      <c r="J19" s="10"/>
      <c r="K19" s="10"/>
      <c r="L19" s="10"/>
      <c r="M19" s="10"/>
      <c r="N19" s="10"/>
    </row>
    <row r="20" spans="1:14" x14ac:dyDescent="0.3">
      <c r="A20" s="3"/>
      <c r="B20" s="65" t="s">
        <v>10</v>
      </c>
      <c r="C20" s="243">
        <v>4.7999999999999996E-3</v>
      </c>
      <c r="D20" s="244"/>
      <c r="E20" s="245"/>
      <c r="F20" s="66"/>
      <c r="G20" s="10"/>
      <c r="H20" s="10"/>
      <c r="I20" s="10"/>
      <c r="J20" s="10"/>
      <c r="K20" s="10"/>
      <c r="L20" s="10"/>
      <c r="M20" s="10"/>
      <c r="N20" s="10"/>
    </row>
    <row r="21" spans="1:14" ht="61.2" x14ac:dyDescent="0.3">
      <c r="A21" s="3"/>
      <c r="B21" s="65" t="s">
        <v>300</v>
      </c>
      <c r="C21" s="243" t="s">
        <v>493</v>
      </c>
      <c r="D21" s="244"/>
      <c r="E21" s="245"/>
      <c r="F21" s="66"/>
      <c r="G21" s="10"/>
      <c r="I21" s="10"/>
      <c r="J21" s="10"/>
      <c r="K21" s="10"/>
      <c r="L21" s="10"/>
      <c r="M21" s="10"/>
      <c r="N21" s="10"/>
    </row>
    <row r="22" spans="1:14" x14ac:dyDescent="0.3">
      <c r="A22" s="3"/>
      <c r="B22" s="65" t="s">
        <v>243</v>
      </c>
      <c r="C22" s="243">
        <v>2.0000000000000001E-4</v>
      </c>
      <c r="D22" s="439"/>
      <c r="E22" s="440"/>
      <c r="F22" s="66"/>
      <c r="G22" s="10"/>
      <c r="H22" s="10"/>
      <c r="I22" s="10"/>
      <c r="J22" s="10"/>
      <c r="K22" s="10"/>
      <c r="L22" s="10"/>
      <c r="M22" s="10"/>
      <c r="N22" s="10"/>
    </row>
    <row r="23" spans="1:14" x14ac:dyDescent="0.3">
      <c r="A23" s="3"/>
      <c r="B23" s="64" t="s">
        <v>252</v>
      </c>
      <c r="C23" s="243">
        <v>2.0000000000000001E-4</v>
      </c>
      <c r="D23" s="439"/>
      <c r="E23" s="440"/>
      <c r="F23" s="66"/>
      <c r="G23" s="10"/>
      <c r="H23" s="10"/>
      <c r="I23" s="10"/>
      <c r="J23" s="10"/>
      <c r="K23" s="10"/>
      <c r="L23" s="10"/>
      <c r="M23" s="10"/>
      <c r="N23" s="10"/>
    </row>
    <row r="24" spans="1:14" x14ac:dyDescent="0.3">
      <c r="A24" s="3"/>
      <c r="B24" s="67" t="s">
        <v>253</v>
      </c>
      <c r="C24" s="401" t="s">
        <v>11</v>
      </c>
      <c r="D24" s="401"/>
      <c r="E24" s="401"/>
      <c r="F24" s="66"/>
      <c r="G24" s="10"/>
      <c r="H24" s="10"/>
      <c r="I24" s="10"/>
      <c r="J24" s="10"/>
      <c r="K24" s="10"/>
      <c r="L24" s="10"/>
      <c r="M24" s="10"/>
      <c r="N24" s="10"/>
    </row>
    <row r="25" spans="1:14" ht="40.5" customHeight="1" x14ac:dyDescent="0.3">
      <c r="A25" s="3"/>
      <c r="B25" s="262" t="s">
        <v>793</v>
      </c>
      <c r="C25" s="262"/>
      <c r="D25" s="262"/>
      <c r="E25" s="262"/>
      <c r="F25" s="66"/>
      <c r="G25" s="10"/>
      <c r="H25" s="10"/>
      <c r="I25" s="10"/>
      <c r="J25" s="10"/>
      <c r="K25" s="10"/>
      <c r="L25" s="10"/>
      <c r="M25" s="10"/>
      <c r="N25" s="10"/>
    </row>
    <row r="26" spans="1:14" x14ac:dyDescent="0.3">
      <c r="A26" s="3">
        <v>6</v>
      </c>
      <c r="B26" s="261" t="s">
        <v>74</v>
      </c>
      <c r="C26" s="262"/>
      <c r="D26" s="262"/>
      <c r="E26" s="263"/>
      <c r="F26" s="2"/>
      <c r="G26" s="2"/>
      <c r="H26" s="10"/>
      <c r="I26" s="2"/>
      <c r="J26" s="2"/>
    </row>
    <row r="27" spans="1:14" x14ac:dyDescent="0.3">
      <c r="A27" s="3"/>
      <c r="B27" s="264" t="s">
        <v>17</v>
      </c>
      <c r="C27" s="265"/>
      <c r="D27" s="265"/>
      <c r="E27" s="266"/>
      <c r="F27" s="66"/>
    </row>
    <row r="28" spans="1:14" x14ac:dyDescent="0.3">
      <c r="A28" s="3"/>
      <c r="B28" s="67" t="s">
        <v>18</v>
      </c>
      <c r="C28" s="25" t="s">
        <v>244</v>
      </c>
      <c r="D28" s="25" t="s">
        <v>245</v>
      </c>
      <c r="E28" s="25" t="s">
        <v>246</v>
      </c>
      <c r="F28" s="66"/>
    </row>
    <row r="29" spans="1:14" ht="20.7" customHeight="1" x14ac:dyDescent="0.3">
      <c r="A29" s="3"/>
      <c r="B29" s="68" t="s">
        <v>21</v>
      </c>
      <c r="C29" s="27">
        <v>20166.12</v>
      </c>
      <c r="D29" s="127">
        <v>29256.87</v>
      </c>
      <c r="E29" s="127">
        <v>31621.32</v>
      </c>
      <c r="F29" s="66"/>
    </row>
    <row r="30" spans="1:14" x14ac:dyDescent="0.3">
      <c r="A30" s="3"/>
      <c r="B30" s="68" t="s">
        <v>23</v>
      </c>
      <c r="C30" s="27">
        <v>610.47</v>
      </c>
      <c r="D30" s="27">
        <v>794.38</v>
      </c>
      <c r="E30" s="27">
        <v>919.01</v>
      </c>
      <c r="F30" s="66"/>
    </row>
    <row r="31" spans="1:14" x14ac:dyDescent="0.3">
      <c r="A31" s="3"/>
      <c r="B31" s="68" t="s">
        <v>24</v>
      </c>
      <c r="C31" s="27">
        <v>1075.98</v>
      </c>
      <c r="D31" s="127">
        <v>1208.48</v>
      </c>
      <c r="E31" s="27">
        <v>1449.68</v>
      </c>
      <c r="F31" s="66"/>
      <c r="H31" s="194"/>
    </row>
    <row r="32" spans="1:14" x14ac:dyDescent="0.3">
      <c r="A32" s="3"/>
      <c r="B32" s="68" t="s">
        <v>25</v>
      </c>
      <c r="C32" s="27">
        <v>5044.82</v>
      </c>
      <c r="D32" s="127">
        <v>6715.3</v>
      </c>
      <c r="E32" s="27">
        <v>9229.1200000000008</v>
      </c>
      <c r="F32" s="66"/>
    </row>
    <row r="33" spans="1:10" x14ac:dyDescent="0.3">
      <c r="A33" s="3"/>
      <c r="B33" s="253" t="s">
        <v>800</v>
      </c>
      <c r="C33" s="270"/>
      <c r="D33" s="270"/>
      <c r="E33" s="254"/>
      <c r="F33" s="66"/>
    </row>
    <row r="34" spans="1:10" x14ac:dyDescent="0.3">
      <c r="A34" s="3"/>
      <c r="B34" s="10"/>
      <c r="C34" s="66"/>
      <c r="D34" s="66"/>
      <c r="E34" s="66"/>
      <c r="F34" s="66"/>
    </row>
    <row r="35" spans="1:10" ht="41.7" customHeight="1" x14ac:dyDescent="0.3">
      <c r="A35" s="3">
        <v>7</v>
      </c>
      <c r="B35" s="406" t="s">
        <v>26</v>
      </c>
      <c r="C35" s="406"/>
      <c r="D35" s="406"/>
      <c r="E35" s="406"/>
      <c r="F35" s="2"/>
      <c r="G35" s="2"/>
      <c r="H35" s="2"/>
      <c r="I35" s="2"/>
      <c r="J35" s="2"/>
    </row>
    <row r="36" spans="1:10" x14ac:dyDescent="0.3">
      <c r="A36" s="3"/>
      <c r="B36" s="147" t="s">
        <v>247</v>
      </c>
      <c r="C36" s="27" t="s">
        <v>86</v>
      </c>
      <c r="F36" s="10"/>
    </row>
    <row r="37" spans="1:10" x14ac:dyDescent="0.3">
      <c r="A37" s="3"/>
      <c r="B37" s="67" t="s">
        <v>28</v>
      </c>
      <c r="C37" s="27" t="s">
        <v>86</v>
      </c>
      <c r="D37" s="10"/>
      <c r="E37" s="10"/>
      <c r="F37" s="10"/>
    </row>
    <row r="38" spans="1:10" x14ac:dyDescent="0.3">
      <c r="A38" s="3"/>
      <c r="B38" s="69" t="s">
        <v>29</v>
      </c>
      <c r="C38" s="27" t="s">
        <v>86</v>
      </c>
      <c r="D38" s="10"/>
      <c r="E38" s="10"/>
      <c r="F38" s="10"/>
    </row>
    <row r="39" spans="1:10" ht="42" customHeight="1" x14ac:dyDescent="0.3">
      <c r="A39" s="3"/>
      <c r="B39" s="271" t="s">
        <v>313</v>
      </c>
      <c r="C39" s="271"/>
      <c r="D39" s="271"/>
      <c r="E39" s="10"/>
      <c r="F39" s="10"/>
    </row>
    <row r="40" spans="1:10" x14ac:dyDescent="0.3">
      <c r="A40" s="3"/>
      <c r="B40" s="66"/>
      <c r="C40" s="10"/>
      <c r="D40" s="10"/>
      <c r="E40" s="10"/>
      <c r="F40" s="10"/>
    </row>
    <row r="41" spans="1:10" x14ac:dyDescent="0.3">
      <c r="A41" s="3">
        <v>8</v>
      </c>
      <c r="B41" s="261" t="s">
        <v>30</v>
      </c>
      <c r="C41" s="262"/>
      <c r="D41" s="262"/>
      <c r="E41" s="263"/>
      <c r="F41" s="2"/>
      <c r="G41" s="2"/>
      <c r="H41" s="2"/>
      <c r="I41" s="2"/>
      <c r="J41" s="2"/>
    </row>
    <row r="42" spans="1:10" x14ac:dyDescent="0.3">
      <c r="A42" s="3"/>
      <c r="B42" s="67" t="s">
        <v>31</v>
      </c>
      <c r="C42" s="258" t="s">
        <v>85</v>
      </c>
      <c r="D42" s="259"/>
      <c r="E42" s="260"/>
      <c r="F42" s="10"/>
    </row>
    <row r="43" spans="1:10" x14ac:dyDescent="0.3">
      <c r="A43" s="3"/>
      <c r="B43" s="67" t="s">
        <v>28</v>
      </c>
      <c r="C43" s="258" t="s">
        <v>85</v>
      </c>
      <c r="D43" s="259"/>
      <c r="E43" s="260"/>
      <c r="F43" s="10"/>
    </row>
    <row r="44" spans="1:10" ht="132.6" customHeight="1" x14ac:dyDescent="0.3">
      <c r="A44" s="3"/>
      <c r="B44" s="67" t="s">
        <v>29</v>
      </c>
      <c r="C44" s="258" t="s">
        <v>907</v>
      </c>
      <c r="D44" s="259"/>
      <c r="E44" s="260"/>
      <c r="F44" s="10"/>
    </row>
    <row r="45" spans="1:10" x14ac:dyDescent="0.3">
      <c r="A45" s="3"/>
      <c r="B45" s="253" t="s">
        <v>802</v>
      </c>
      <c r="C45" s="270"/>
      <c r="D45" s="270"/>
      <c r="E45" s="254"/>
      <c r="F45" s="10"/>
    </row>
    <row r="46" spans="1:10" x14ac:dyDescent="0.3">
      <c r="A46" s="3"/>
      <c r="D46" s="22"/>
      <c r="E46" s="10"/>
    </row>
    <row r="47" spans="1:10" ht="83.4" customHeight="1" x14ac:dyDescent="0.3">
      <c r="A47" s="191">
        <v>9</v>
      </c>
      <c r="B47" s="262" t="s">
        <v>32</v>
      </c>
      <c r="C47" s="262"/>
      <c r="D47" s="262"/>
      <c r="E47" s="263"/>
      <c r="F47" s="2"/>
      <c r="G47" s="2"/>
      <c r="H47" s="2"/>
      <c r="I47" s="2"/>
    </row>
    <row r="48" spans="1:10" ht="81.599999999999994" x14ac:dyDescent="0.3">
      <c r="A48" s="191"/>
      <c r="B48" s="24" t="s">
        <v>33</v>
      </c>
      <c r="C48" s="25" t="s">
        <v>34</v>
      </c>
      <c r="D48" s="25" t="s">
        <v>524</v>
      </c>
      <c r="E48" s="25" t="s">
        <v>35</v>
      </c>
    </row>
    <row r="49" spans="1:14" ht="166.2" customHeight="1" x14ac:dyDescent="0.3">
      <c r="A49" s="191"/>
      <c r="B49" s="189" t="s">
        <v>261</v>
      </c>
      <c r="C49" s="27" t="s">
        <v>314</v>
      </c>
      <c r="D49" s="27" t="s">
        <v>314</v>
      </c>
      <c r="E49" s="27" t="s">
        <v>50</v>
      </c>
    </row>
    <row r="50" spans="1:14" x14ac:dyDescent="0.3">
      <c r="A50" s="191"/>
      <c r="B50" s="185" t="s">
        <v>525</v>
      </c>
      <c r="C50" s="188"/>
      <c r="D50" s="188"/>
      <c r="E50" s="189"/>
    </row>
    <row r="51" spans="1:14" x14ac:dyDescent="0.3">
      <c r="A51" s="3"/>
      <c r="B51" s="253" t="s">
        <v>316</v>
      </c>
      <c r="C51" s="270"/>
      <c r="D51" s="270"/>
      <c r="E51" s="254"/>
    </row>
    <row r="52" spans="1:14" hidden="1" x14ac:dyDescent="0.3">
      <c r="A52" s="3"/>
      <c r="B52" s="103" t="s">
        <v>213</v>
      </c>
      <c r="C52" s="87"/>
      <c r="D52" s="87"/>
      <c r="E52" s="87"/>
    </row>
    <row r="53" spans="1:14" x14ac:dyDescent="0.3">
      <c r="A53" s="215"/>
      <c r="B53" s="28"/>
      <c r="C53" s="22"/>
      <c r="D53" s="22"/>
      <c r="E53" s="22"/>
      <c r="F53" s="66"/>
      <c r="G53" s="66"/>
      <c r="H53" s="66"/>
      <c r="I53" s="66"/>
    </row>
    <row r="54" spans="1:14" ht="43.2" customHeight="1" x14ac:dyDescent="0.3">
      <c r="A54" s="191">
        <v>10</v>
      </c>
      <c r="B54" s="262" t="s">
        <v>32</v>
      </c>
      <c r="C54" s="262"/>
      <c r="D54" s="262"/>
      <c r="E54" s="263"/>
      <c r="F54" s="66"/>
      <c r="G54" s="66"/>
      <c r="H54" s="66"/>
    </row>
    <row r="55" spans="1:14" x14ac:dyDescent="0.3">
      <c r="A55" s="191"/>
      <c r="B55" s="275" t="s">
        <v>36</v>
      </c>
      <c r="C55" s="277" t="s">
        <v>314</v>
      </c>
      <c r="D55" s="278"/>
      <c r="E55" s="279"/>
      <c r="K55" s="2"/>
    </row>
    <row r="56" spans="1:14" ht="100.2" customHeight="1" x14ac:dyDescent="0.3">
      <c r="A56" s="191"/>
      <c r="B56" s="276"/>
      <c r="C56" s="280"/>
      <c r="D56" s="281"/>
      <c r="E56" s="282"/>
      <c r="K56" s="2"/>
    </row>
    <row r="57" spans="1:14" ht="123.6" customHeight="1" x14ac:dyDescent="0.3">
      <c r="A57" s="191"/>
      <c r="B57" s="29" t="s">
        <v>37</v>
      </c>
      <c r="C57" s="283" t="s">
        <v>314</v>
      </c>
      <c r="D57" s="284"/>
      <c r="E57" s="285"/>
    </row>
    <row r="58" spans="1:14" x14ac:dyDescent="0.3">
      <c r="A58" s="191"/>
      <c r="B58" s="29" t="s">
        <v>38</v>
      </c>
      <c r="C58" s="286" t="s">
        <v>232</v>
      </c>
      <c r="D58" s="287"/>
      <c r="E58" s="288"/>
      <c r="K58" s="30"/>
    </row>
    <row r="59" spans="1:14" s="32" customFormat="1" x14ac:dyDescent="0.4">
      <c r="A59" s="111" t="s">
        <v>39</v>
      </c>
      <c r="B59" s="290" t="s">
        <v>762</v>
      </c>
      <c r="C59" s="290"/>
      <c r="D59" s="290"/>
      <c r="E59" s="291"/>
    </row>
    <row r="60" spans="1:14" x14ac:dyDescent="0.3">
      <c r="A60" s="191"/>
      <c r="B60" s="73"/>
      <c r="C60" s="73"/>
      <c r="D60" s="73"/>
      <c r="E60" s="73"/>
      <c r="F60" s="73"/>
    </row>
    <row r="61" spans="1:14" x14ac:dyDescent="0.3">
      <c r="A61" s="191">
        <v>11</v>
      </c>
      <c r="B61" s="214" t="s">
        <v>41</v>
      </c>
      <c r="C61" s="270" t="s">
        <v>121</v>
      </c>
      <c r="D61" s="270"/>
      <c r="E61" s="270"/>
      <c r="F61" s="2"/>
      <c r="G61" s="2"/>
      <c r="H61" s="74"/>
      <c r="I61" s="2"/>
      <c r="J61" s="2"/>
    </row>
    <row r="62" spans="1:14" ht="20.7" customHeight="1" x14ac:dyDescent="0.3">
      <c r="A62" s="191"/>
      <c r="B62" s="66"/>
      <c r="C62" s="270"/>
      <c r="D62" s="270"/>
      <c r="E62" s="270"/>
      <c r="F62" s="66"/>
      <c r="G62" s="66"/>
      <c r="H62" s="75"/>
      <c r="I62" s="75"/>
      <c r="J62" s="66"/>
    </row>
    <row r="63" spans="1:14" s="42" customFormat="1" x14ac:dyDescent="0.3">
      <c r="A63" s="76">
        <v>12</v>
      </c>
      <c r="B63" s="77" t="s">
        <v>42</v>
      </c>
      <c r="C63" s="272"/>
      <c r="D63" s="273"/>
      <c r="E63" s="274"/>
      <c r="F63" s="78"/>
      <c r="G63" s="79"/>
      <c r="H63" s="79"/>
      <c r="I63" s="79"/>
      <c r="J63" s="79"/>
      <c r="K63" s="79"/>
      <c r="L63" s="79"/>
      <c r="M63" s="79"/>
      <c r="N63" s="79"/>
    </row>
    <row r="64" spans="1:14" x14ac:dyDescent="0.3">
      <c r="A64" s="3"/>
      <c r="B64" s="2"/>
      <c r="C64" s="2"/>
      <c r="D64" s="2"/>
      <c r="E64" s="74"/>
      <c r="F64" s="74"/>
      <c r="G64" s="74"/>
      <c r="H64" s="2"/>
      <c r="I64" s="2"/>
      <c r="J64" s="2"/>
      <c r="K64" s="2"/>
      <c r="L64" s="2"/>
      <c r="M64" s="2"/>
      <c r="N64" s="2"/>
    </row>
    <row r="65" spans="1:14" x14ac:dyDescent="0.3">
      <c r="A65" s="3"/>
      <c r="B65" s="67" t="s">
        <v>43</v>
      </c>
      <c r="C65" s="68" t="s">
        <v>315</v>
      </c>
      <c r="D65" s="66"/>
      <c r="E65" s="66"/>
      <c r="F65" s="75"/>
      <c r="G65" s="75"/>
      <c r="H65" s="66"/>
      <c r="I65" s="66"/>
      <c r="J65" s="66"/>
      <c r="K65" s="66"/>
      <c r="L65" s="66"/>
      <c r="M65" s="66"/>
      <c r="N65" s="66"/>
    </row>
    <row r="66" spans="1:14" x14ac:dyDescent="0.3">
      <c r="A66" s="3"/>
      <c r="B66" s="66"/>
      <c r="C66" s="66"/>
      <c r="D66" s="66"/>
      <c r="E66" s="66"/>
      <c r="F66" s="66"/>
      <c r="G66" s="66"/>
      <c r="H66" s="66"/>
      <c r="I66" s="66"/>
      <c r="J66" s="66"/>
      <c r="K66" s="66"/>
      <c r="L66" s="66"/>
      <c r="M66" s="66"/>
      <c r="N66" s="66"/>
    </row>
    <row r="67" spans="1:14" ht="87.6" customHeight="1" x14ac:dyDescent="0.3">
      <c r="A67" s="3"/>
      <c r="B67" s="295" t="s">
        <v>44</v>
      </c>
      <c r="C67" s="295" t="s">
        <v>317</v>
      </c>
      <c r="D67" s="295" t="s">
        <v>68</v>
      </c>
      <c r="E67" s="297" t="s">
        <v>45</v>
      </c>
      <c r="F67" s="292" t="s">
        <v>254</v>
      </c>
      <c r="G67" s="293"/>
      <c r="H67" s="294"/>
      <c r="I67" s="292" t="s">
        <v>255</v>
      </c>
      <c r="J67" s="293"/>
      <c r="K67" s="294"/>
      <c r="L67" s="292" t="s">
        <v>197</v>
      </c>
      <c r="M67" s="293"/>
      <c r="N67" s="294"/>
    </row>
    <row r="68" spans="1:14" ht="61.2" x14ac:dyDescent="0.3">
      <c r="A68" s="3"/>
      <c r="B68" s="296"/>
      <c r="C68" s="296"/>
      <c r="D68" s="296"/>
      <c r="E68" s="298"/>
      <c r="F68" s="67" t="s">
        <v>46</v>
      </c>
      <c r="G68" s="67" t="s">
        <v>47</v>
      </c>
      <c r="H68" s="67" t="s">
        <v>48</v>
      </c>
      <c r="I68" s="67" t="s">
        <v>49</v>
      </c>
      <c r="J68" s="67" t="s">
        <v>47</v>
      </c>
      <c r="K68" s="67" t="s">
        <v>48</v>
      </c>
      <c r="L68" s="67" t="s">
        <v>49</v>
      </c>
      <c r="M68" s="67" t="s">
        <v>47</v>
      </c>
      <c r="N68" s="67" t="s">
        <v>48</v>
      </c>
    </row>
    <row r="69" spans="1:14" ht="105" customHeight="1" x14ac:dyDescent="0.3">
      <c r="A69" s="3"/>
      <c r="B69" s="67" t="s">
        <v>803</v>
      </c>
      <c r="C69" s="81">
        <v>65.05</v>
      </c>
      <c r="D69" s="82">
        <v>83.35</v>
      </c>
      <c r="E69" s="82">
        <v>73.45</v>
      </c>
      <c r="F69" s="121">
        <v>65.75</v>
      </c>
      <c r="G69" s="121">
        <v>97.7</v>
      </c>
      <c r="H69" s="121">
        <v>55</v>
      </c>
      <c r="I69" s="121">
        <v>97</v>
      </c>
      <c r="J69" s="121">
        <v>148</v>
      </c>
      <c r="K69" s="121">
        <v>66</v>
      </c>
      <c r="L69" s="121">
        <v>137.75</v>
      </c>
      <c r="M69" s="121">
        <v>159.5</v>
      </c>
      <c r="N69" s="121">
        <v>68.05</v>
      </c>
    </row>
    <row r="70" spans="1:14" ht="40.799999999999997" x14ac:dyDescent="0.3">
      <c r="A70" s="3"/>
      <c r="B70" s="69" t="s">
        <v>67</v>
      </c>
      <c r="C70" s="82">
        <v>19794</v>
      </c>
      <c r="D70" s="82">
        <v>19425.349999999999</v>
      </c>
      <c r="E70" s="82">
        <v>21544.85</v>
      </c>
      <c r="F70" s="121">
        <v>22326.9</v>
      </c>
      <c r="G70" s="121">
        <v>22526.6</v>
      </c>
      <c r="H70" s="121">
        <v>17312.75</v>
      </c>
      <c r="I70" s="121">
        <v>23519.35</v>
      </c>
      <c r="J70" s="121">
        <v>26277.35</v>
      </c>
      <c r="K70" s="121">
        <v>21281.45</v>
      </c>
      <c r="L70" s="121">
        <v>22331.4</v>
      </c>
      <c r="M70" s="121">
        <v>26373.200000000001</v>
      </c>
      <c r="N70" s="121">
        <v>21743.65</v>
      </c>
    </row>
    <row r="71" spans="1:14" x14ac:dyDescent="0.3">
      <c r="A71" s="3"/>
      <c r="B71" s="253" t="s">
        <v>99</v>
      </c>
      <c r="C71" s="270"/>
      <c r="D71" s="270"/>
      <c r="E71" s="270"/>
      <c r="F71" s="270"/>
      <c r="G71" s="270"/>
      <c r="H71" s="270"/>
      <c r="I71" s="270"/>
      <c r="J71" s="270"/>
      <c r="K71" s="270"/>
      <c r="L71" s="270"/>
      <c r="M71" s="270"/>
      <c r="N71" s="254"/>
    </row>
    <row r="72" spans="1:14" x14ac:dyDescent="0.3">
      <c r="A72" s="3"/>
      <c r="B72" s="253" t="s">
        <v>801</v>
      </c>
      <c r="C72" s="270"/>
      <c r="D72" s="270"/>
      <c r="E72" s="270"/>
      <c r="F72" s="254"/>
      <c r="G72" s="83"/>
      <c r="H72" s="83"/>
      <c r="I72" s="83"/>
      <c r="J72" s="83"/>
      <c r="K72" s="83"/>
      <c r="L72" s="83"/>
      <c r="M72" s="83"/>
      <c r="N72" s="83"/>
    </row>
    <row r="73" spans="1:14" ht="45" customHeight="1" x14ac:dyDescent="0.3">
      <c r="A73" s="3"/>
      <c r="B73" s="253" t="s">
        <v>760</v>
      </c>
      <c r="C73" s="270"/>
      <c r="D73" s="270"/>
      <c r="E73" s="270"/>
      <c r="F73" s="254"/>
      <c r="G73" s="83"/>
      <c r="H73" s="83"/>
      <c r="I73" s="83"/>
      <c r="J73" s="83"/>
      <c r="K73" s="83"/>
      <c r="L73" s="83"/>
      <c r="M73" s="83"/>
      <c r="N73" s="83"/>
    </row>
    <row r="74" spans="1:14" x14ac:dyDescent="0.3">
      <c r="A74" s="3"/>
      <c r="B74" s="253" t="s">
        <v>71</v>
      </c>
      <c r="C74" s="270"/>
      <c r="D74" s="270"/>
      <c r="E74" s="270"/>
      <c r="F74" s="254"/>
      <c r="G74" s="83"/>
      <c r="H74" s="83"/>
      <c r="I74" s="83"/>
      <c r="J74" s="83"/>
      <c r="K74" s="83"/>
      <c r="L74" s="83"/>
      <c r="M74" s="83"/>
      <c r="N74" s="83"/>
    </row>
    <row r="75" spans="1:14" x14ac:dyDescent="0.3">
      <c r="A75" s="3"/>
      <c r="B75" s="84"/>
      <c r="C75" s="84"/>
      <c r="D75" s="84"/>
      <c r="E75" s="84"/>
      <c r="F75" s="84"/>
      <c r="G75" s="10"/>
      <c r="H75" s="10"/>
      <c r="I75" s="10"/>
      <c r="J75" s="10"/>
      <c r="K75" s="10"/>
      <c r="L75" s="10"/>
      <c r="M75" s="10"/>
      <c r="N75" s="10"/>
    </row>
    <row r="76" spans="1:14" ht="39" customHeight="1" x14ac:dyDescent="0.3">
      <c r="A76" s="3">
        <v>13</v>
      </c>
      <c r="B76" s="261" t="s">
        <v>51</v>
      </c>
      <c r="C76" s="262"/>
      <c r="D76" s="262"/>
      <c r="E76" s="262"/>
      <c r="F76" s="262"/>
      <c r="G76" s="263"/>
      <c r="H76" s="2"/>
      <c r="I76" s="2"/>
      <c r="J76" s="2"/>
      <c r="K76" s="2"/>
      <c r="L76" s="2"/>
      <c r="M76" s="2"/>
      <c r="N76" s="2"/>
    </row>
    <row r="77" spans="1:14" x14ac:dyDescent="0.3">
      <c r="A77" s="3"/>
      <c r="C77" s="66"/>
      <c r="D77" s="66"/>
      <c r="E77" s="66"/>
      <c r="F77" s="66"/>
      <c r="G77" s="66"/>
      <c r="H77" s="66"/>
      <c r="I77" s="66"/>
      <c r="J77" s="66"/>
      <c r="K77" s="66"/>
      <c r="L77" s="66"/>
      <c r="M77" s="66"/>
      <c r="N77" s="66"/>
    </row>
    <row r="78" spans="1:14" ht="61.2" x14ac:dyDescent="0.3">
      <c r="A78" s="3"/>
      <c r="B78" s="25" t="s">
        <v>52</v>
      </c>
      <c r="C78" s="25" t="s">
        <v>53</v>
      </c>
      <c r="D78" s="25" t="s">
        <v>259</v>
      </c>
      <c r="E78" s="25" t="s">
        <v>54</v>
      </c>
      <c r="F78" s="25" t="s">
        <v>55</v>
      </c>
      <c r="G78" s="25" t="s">
        <v>56</v>
      </c>
      <c r="H78" s="10"/>
      <c r="I78" s="10"/>
      <c r="J78" s="10"/>
      <c r="K78" s="10"/>
      <c r="L78" s="10"/>
      <c r="M78" s="10"/>
      <c r="N78" s="10"/>
    </row>
    <row r="79" spans="1:14" ht="21" customHeight="1" x14ac:dyDescent="0.3">
      <c r="A79" s="3"/>
      <c r="B79" s="297" t="s">
        <v>72</v>
      </c>
      <c r="C79" s="54" t="s">
        <v>318</v>
      </c>
      <c r="D79" s="134">
        <v>5.18</v>
      </c>
      <c r="E79" s="88">
        <v>5.96</v>
      </c>
      <c r="F79" s="88">
        <v>7.03</v>
      </c>
      <c r="G79" s="88">
        <v>7.09</v>
      </c>
    </row>
    <row r="80" spans="1:14" ht="21" customHeight="1" x14ac:dyDescent="0.3">
      <c r="A80" s="3"/>
      <c r="B80" s="309"/>
      <c r="C80" s="54" t="s">
        <v>237</v>
      </c>
      <c r="D80" s="135"/>
      <c r="E80" s="88"/>
      <c r="F80" s="88"/>
      <c r="G80" s="88"/>
    </row>
    <row r="81" spans="1:7" ht="21" customHeight="1" x14ac:dyDescent="0.3">
      <c r="A81" s="3"/>
      <c r="B81" s="309"/>
      <c r="C81" s="5" t="s">
        <v>320</v>
      </c>
      <c r="D81" s="135">
        <v>3.78</v>
      </c>
      <c r="E81" s="88">
        <v>2.74</v>
      </c>
      <c r="F81" s="88">
        <v>2.1800000000000002</v>
      </c>
      <c r="G81" s="88">
        <v>2.77</v>
      </c>
    </row>
    <row r="82" spans="1:7" ht="21" customHeight="1" x14ac:dyDescent="0.3">
      <c r="A82" s="3"/>
      <c r="B82" s="309"/>
      <c r="C82" s="5" t="s">
        <v>321</v>
      </c>
      <c r="D82" s="135">
        <v>3.42</v>
      </c>
      <c r="E82" s="88">
        <v>6.25</v>
      </c>
      <c r="F82" s="88">
        <v>4.29</v>
      </c>
      <c r="G82" s="88">
        <v>5.57</v>
      </c>
    </row>
    <row r="83" spans="1:7" ht="21" customHeight="1" x14ac:dyDescent="0.3">
      <c r="A83" s="3"/>
      <c r="B83" s="309"/>
      <c r="C83" s="5" t="s">
        <v>322</v>
      </c>
      <c r="D83" s="135">
        <v>26.8</v>
      </c>
      <c r="E83" s="88">
        <v>24.06</v>
      </c>
      <c r="F83" s="88">
        <v>21.38</v>
      </c>
      <c r="G83" s="88">
        <v>45.16</v>
      </c>
    </row>
    <row r="84" spans="1:7" ht="21" customHeight="1" x14ac:dyDescent="0.3">
      <c r="A84" s="3"/>
      <c r="B84" s="298"/>
      <c r="C84" s="54" t="s">
        <v>295</v>
      </c>
      <c r="D84" s="140">
        <f>AVERAGE(D81:D83)</f>
        <v>11.333333333333334</v>
      </c>
      <c r="E84" s="157">
        <f>AVERAGE(E81:E83)</f>
        <v>11.016666666666666</v>
      </c>
      <c r="F84" s="157">
        <f>AVERAGE(F81:F83)</f>
        <v>9.2833333333333332</v>
      </c>
      <c r="G84" s="157">
        <f>AVERAGE(G81:G83)</f>
        <v>17.833333333333332</v>
      </c>
    </row>
    <row r="85" spans="1:7" x14ac:dyDescent="0.3">
      <c r="A85" s="3"/>
      <c r="B85" s="297" t="s">
        <v>59</v>
      </c>
      <c r="C85" s="54" t="s">
        <v>318</v>
      </c>
      <c r="D85" s="135">
        <v>11.2</v>
      </c>
      <c r="E85" s="90">
        <f>F69/E79</f>
        <v>11.031879194630873</v>
      </c>
      <c r="F85" s="88">
        <f>97/F79</f>
        <v>13.79800853485064</v>
      </c>
      <c r="G85" s="90">
        <f>L69/G79</f>
        <v>19.428772919605077</v>
      </c>
    </row>
    <row r="86" spans="1:7" x14ac:dyDescent="0.3">
      <c r="A86" s="3"/>
      <c r="B86" s="309"/>
      <c r="C86" s="54" t="s">
        <v>237</v>
      </c>
      <c r="D86" s="135"/>
      <c r="E86" s="88"/>
      <c r="F86" s="88"/>
      <c r="G86" s="88"/>
    </row>
    <row r="87" spans="1:7" x14ac:dyDescent="0.3">
      <c r="A87" s="3"/>
      <c r="B87" s="309"/>
      <c r="C87" s="5" t="s">
        <v>320</v>
      </c>
      <c r="D87" s="135">
        <v>18.79</v>
      </c>
      <c r="E87" s="90">
        <f>67.5/E81</f>
        <v>24.635036496350363</v>
      </c>
      <c r="F87" s="90">
        <f>73.75/F81</f>
        <v>33.830275229357795</v>
      </c>
      <c r="G87" s="90">
        <f>54/G81</f>
        <v>19.494584837545126</v>
      </c>
    </row>
    <row r="88" spans="1:7" x14ac:dyDescent="0.3">
      <c r="A88" s="3"/>
      <c r="B88" s="309"/>
      <c r="C88" s="5" t="s">
        <v>321</v>
      </c>
      <c r="D88" s="135">
        <v>42.88</v>
      </c>
      <c r="E88" s="88">
        <f>128.5/E82</f>
        <v>20.56</v>
      </c>
      <c r="F88" s="90">
        <f>86.88/F82</f>
        <v>20.25174825174825</v>
      </c>
      <c r="G88" s="90">
        <f>141.85/G82</f>
        <v>25.466786355475762</v>
      </c>
    </row>
    <row r="89" spans="1:7" x14ac:dyDescent="0.3">
      <c r="A89" s="3"/>
      <c r="B89" s="309"/>
      <c r="C89" s="5" t="s">
        <v>322</v>
      </c>
      <c r="D89" s="135">
        <v>21.07</v>
      </c>
      <c r="E89" s="90">
        <f>391.75/E83</f>
        <v>16.282211138819619</v>
      </c>
      <c r="F89" s="90">
        <f>345/F83</f>
        <v>16.136576239476145</v>
      </c>
      <c r="G89" s="88">
        <f>458.55/G83</f>
        <v>10.153897254207264</v>
      </c>
    </row>
    <row r="90" spans="1:7" x14ac:dyDescent="0.3">
      <c r="A90" s="3"/>
      <c r="B90" s="298"/>
      <c r="C90" s="54" t="s">
        <v>295</v>
      </c>
      <c r="D90" s="140">
        <f>AVERAGE(D87:D89)</f>
        <v>27.580000000000002</v>
      </c>
      <c r="E90" s="157">
        <f>AVERAGE(E87:E89)</f>
        <v>20.492415878389995</v>
      </c>
      <c r="F90" s="157">
        <f>AVERAGE(F87:F89)</f>
        <v>23.406199906860731</v>
      </c>
      <c r="G90" s="157">
        <f>AVERAGE(G87:G89)</f>
        <v>18.371756149076052</v>
      </c>
    </row>
    <row r="91" spans="1:7" x14ac:dyDescent="0.3">
      <c r="A91" s="3"/>
      <c r="B91" s="297" t="s">
        <v>60</v>
      </c>
      <c r="C91" s="54" t="s">
        <v>318</v>
      </c>
      <c r="D91" s="142">
        <v>9.6799999999999997E-2</v>
      </c>
      <c r="E91" s="110">
        <v>9.9699999999999997E-2</v>
      </c>
      <c r="F91" s="110">
        <v>0.1003</v>
      </c>
      <c r="G91" s="88">
        <v>8.61</v>
      </c>
    </row>
    <row r="92" spans="1:7" x14ac:dyDescent="0.3">
      <c r="A92" s="3"/>
      <c r="B92" s="309"/>
      <c r="C92" s="54" t="s">
        <v>237</v>
      </c>
      <c r="D92" s="5"/>
      <c r="E92" s="88"/>
      <c r="F92" s="88"/>
      <c r="G92" s="88"/>
    </row>
    <row r="93" spans="1:7" x14ac:dyDescent="0.3">
      <c r="A93" s="3"/>
      <c r="B93" s="309"/>
      <c r="C93" s="5" t="s">
        <v>320</v>
      </c>
      <c r="D93" s="142">
        <v>0.1196</v>
      </c>
      <c r="E93" s="110">
        <v>8.4599999999999995E-2</v>
      </c>
      <c r="F93" s="110">
        <v>0.1263</v>
      </c>
      <c r="G93" s="110">
        <v>0.13739999999999999</v>
      </c>
    </row>
    <row r="94" spans="1:7" x14ac:dyDescent="0.3">
      <c r="A94" s="3"/>
      <c r="B94" s="309"/>
      <c r="C94" s="5" t="s">
        <v>321</v>
      </c>
      <c r="D94" s="142">
        <v>6.3500000000000001E-2</v>
      </c>
      <c r="E94" s="110">
        <v>0.1048</v>
      </c>
      <c r="F94" s="110">
        <v>6.7400000000000002E-2</v>
      </c>
      <c r="G94" s="110">
        <v>8.1199999999999994E-2</v>
      </c>
    </row>
    <row r="95" spans="1:7" x14ac:dyDescent="0.3">
      <c r="A95" s="3"/>
      <c r="B95" s="309"/>
      <c r="C95" s="5" t="s">
        <v>322</v>
      </c>
      <c r="D95" s="142">
        <v>0.2243</v>
      </c>
      <c r="E95" s="110">
        <v>0.16950000000000001</v>
      </c>
      <c r="F95" s="110">
        <v>0.13250000000000001</v>
      </c>
      <c r="G95" s="110">
        <v>0.221</v>
      </c>
    </row>
    <row r="96" spans="1:7" x14ac:dyDescent="0.3">
      <c r="A96" s="3"/>
      <c r="B96" s="298"/>
      <c r="C96" s="54" t="s">
        <v>295</v>
      </c>
      <c r="D96" s="143">
        <f>AVERAGE(D93:D95)</f>
        <v>0.1358</v>
      </c>
      <c r="E96" s="131">
        <f>AVERAGE(E93:E95)</f>
        <v>0.11963333333333333</v>
      </c>
      <c r="F96" s="131">
        <f>AVERAGE(F93:F95)</f>
        <v>0.10873333333333333</v>
      </c>
      <c r="G96" s="131">
        <f>AVERAGE(G93:G95)</f>
        <v>0.14653333333333332</v>
      </c>
    </row>
    <row r="97" spans="1:8" x14ac:dyDescent="0.3">
      <c r="A97" s="3"/>
      <c r="B97" s="310" t="s">
        <v>61</v>
      </c>
      <c r="C97" s="54" t="s">
        <v>318</v>
      </c>
      <c r="D97" s="135">
        <v>53.5</v>
      </c>
      <c r="E97" s="88">
        <v>56.88</v>
      </c>
      <c r="F97" s="88">
        <v>65.569999999999993</v>
      </c>
      <c r="G97" s="88">
        <v>92.78</v>
      </c>
    </row>
    <row r="98" spans="1:8" x14ac:dyDescent="0.3">
      <c r="A98" s="3"/>
      <c r="B98" s="310"/>
      <c r="C98" s="54" t="s">
        <v>237</v>
      </c>
      <c r="D98" s="135"/>
      <c r="E98" s="88"/>
      <c r="F98" s="88"/>
      <c r="G98" s="88"/>
    </row>
    <row r="99" spans="1:8" x14ac:dyDescent="0.3">
      <c r="A99" s="3"/>
      <c r="B99" s="310"/>
      <c r="C99" s="5" t="s">
        <v>320</v>
      </c>
      <c r="D99" s="151">
        <v>31.56</v>
      </c>
      <c r="E99" s="88">
        <v>30.13</v>
      </c>
      <c r="F99" s="88">
        <v>17.25</v>
      </c>
      <c r="G99" s="88">
        <v>20.18</v>
      </c>
    </row>
    <row r="100" spans="1:8" x14ac:dyDescent="0.3">
      <c r="A100" s="3"/>
      <c r="B100" s="310"/>
      <c r="C100" s="5" t="s">
        <v>321</v>
      </c>
      <c r="D100" s="134">
        <v>53.84</v>
      </c>
      <c r="E100" s="88">
        <v>59.68</v>
      </c>
      <c r="F100" s="88">
        <v>63.55</v>
      </c>
      <c r="G100" s="88">
        <v>68.58</v>
      </c>
    </row>
    <row r="101" spans="1:8" x14ac:dyDescent="0.3">
      <c r="A101" s="3"/>
      <c r="B101" s="310"/>
      <c r="C101" s="5" t="s">
        <v>322</v>
      </c>
      <c r="D101" s="134">
        <v>119.5</v>
      </c>
      <c r="E101" s="152">
        <v>141.91999999999999</v>
      </c>
      <c r="F101" s="88">
        <v>161.36000000000001</v>
      </c>
      <c r="G101" s="88">
        <v>204.39</v>
      </c>
    </row>
    <row r="102" spans="1:8" x14ac:dyDescent="0.35">
      <c r="A102" s="3"/>
      <c r="B102" s="310"/>
      <c r="C102" s="54" t="s">
        <v>295</v>
      </c>
      <c r="D102" s="144">
        <f>AVERAGE(D99:D101)</f>
        <v>68.3</v>
      </c>
      <c r="E102" s="158">
        <f>AVERAGE(E99:E101)</f>
        <v>77.243333333333325</v>
      </c>
      <c r="F102" s="158">
        <f>AVERAGE(F99:F101)</f>
        <v>80.720000000000013</v>
      </c>
      <c r="G102" s="158">
        <f>AVERAGE(G99:G101)</f>
        <v>97.716666666666654</v>
      </c>
    </row>
    <row r="103" spans="1:8" x14ac:dyDescent="0.3">
      <c r="A103" s="3"/>
      <c r="B103" s="301"/>
      <c r="C103" s="302"/>
      <c r="D103" s="302"/>
      <c r="E103" s="302"/>
      <c r="F103" s="302"/>
      <c r="G103" s="303"/>
    </row>
    <row r="104" spans="1:8" s="2" customFormat="1" x14ac:dyDescent="0.3">
      <c r="B104" s="253" t="s">
        <v>82</v>
      </c>
      <c r="C104" s="270"/>
      <c r="D104" s="270"/>
      <c r="E104" s="270"/>
      <c r="F104" s="270"/>
      <c r="G104" s="254"/>
    </row>
    <row r="105" spans="1:8" x14ac:dyDescent="0.3">
      <c r="A105" s="3"/>
      <c r="B105" s="304" t="s">
        <v>580</v>
      </c>
      <c r="C105" s="242"/>
      <c r="D105" s="242"/>
      <c r="E105" s="242"/>
      <c r="F105" s="242"/>
      <c r="G105" s="305"/>
    </row>
    <row r="106" spans="1:8" ht="30.75" customHeight="1" x14ac:dyDescent="0.3">
      <c r="A106" s="3"/>
      <c r="B106" s="403" t="s">
        <v>761</v>
      </c>
      <c r="C106" s="403"/>
      <c r="D106" s="403"/>
      <c r="E106" s="403"/>
      <c r="F106" s="403"/>
      <c r="G106" s="403"/>
    </row>
    <row r="107" spans="1:8" x14ac:dyDescent="0.3">
      <c r="C107" s="306"/>
      <c r="D107" s="306"/>
      <c r="E107" s="306"/>
      <c r="F107" s="306"/>
      <c r="G107" s="306"/>
    </row>
    <row r="108" spans="1:8" x14ac:dyDescent="0.3">
      <c r="A108" s="3">
        <v>14</v>
      </c>
      <c r="B108" s="54" t="s">
        <v>63</v>
      </c>
      <c r="C108" s="307" t="s">
        <v>50</v>
      </c>
      <c r="D108" s="308"/>
      <c r="E108" s="308"/>
      <c r="F108" s="308"/>
      <c r="G108" s="249"/>
    </row>
    <row r="109" spans="1:8" x14ac:dyDescent="0.3">
      <c r="C109" s="55"/>
      <c r="D109" s="55"/>
      <c r="E109" s="55"/>
      <c r="F109" s="55"/>
      <c r="G109" s="55"/>
    </row>
    <row r="110" spans="1:8" x14ac:dyDescent="0.3">
      <c r="B110" s="299" t="s">
        <v>319</v>
      </c>
      <c r="C110" s="299"/>
      <c r="D110" s="299"/>
      <c r="E110" s="299"/>
      <c r="F110" s="299"/>
      <c r="G110" s="299"/>
      <c r="H110" s="299"/>
    </row>
    <row r="115" spans="4:5" x14ac:dyDescent="0.3">
      <c r="D115" s="56"/>
      <c r="E115" s="56"/>
    </row>
    <row r="116" spans="4:5" x14ac:dyDescent="0.3">
      <c r="E116" s="56"/>
    </row>
  </sheetData>
  <mergeCells count="60">
    <mergeCell ref="B76:G76"/>
    <mergeCell ref="B79:B84"/>
    <mergeCell ref="B85:B90"/>
    <mergeCell ref="B110:H110"/>
    <mergeCell ref="B103:G103"/>
    <mergeCell ref="B104:G104"/>
    <mergeCell ref="B105:G105"/>
    <mergeCell ref="C107:G107"/>
    <mergeCell ref="C108:G108"/>
    <mergeCell ref="B91:B96"/>
    <mergeCell ref="B97:B102"/>
    <mergeCell ref="B106:G106"/>
    <mergeCell ref="B71:N71"/>
    <mergeCell ref="I67:K67"/>
    <mergeCell ref="B74:F74"/>
    <mergeCell ref="C67:C68"/>
    <mergeCell ref="D67:D68"/>
    <mergeCell ref="E67:E68"/>
    <mergeCell ref="F67:H67"/>
    <mergeCell ref="L67:N67"/>
    <mergeCell ref="B73:F73"/>
    <mergeCell ref="B72:F72"/>
    <mergeCell ref="B67:B68"/>
    <mergeCell ref="C63:E63"/>
    <mergeCell ref="C44:E44"/>
    <mergeCell ref="B45:E45"/>
    <mergeCell ref="B47:E47"/>
    <mergeCell ref="B51:E51"/>
    <mergeCell ref="B54:E54"/>
    <mergeCell ref="B55:B56"/>
    <mergeCell ref="C55:E56"/>
    <mergeCell ref="C57:E57"/>
    <mergeCell ref="C58:E58"/>
    <mergeCell ref="B59:E59"/>
    <mergeCell ref="C61:E61"/>
    <mergeCell ref="C62:E62"/>
    <mergeCell ref="C43:E43"/>
    <mergeCell ref="C22:E22"/>
    <mergeCell ref="C23:E23"/>
    <mergeCell ref="C24:E24"/>
    <mergeCell ref="B26:E26"/>
    <mergeCell ref="B27:E27"/>
    <mergeCell ref="B33:E33"/>
    <mergeCell ref="B35:E35"/>
    <mergeCell ref="B39:D39"/>
    <mergeCell ref="B41:E41"/>
    <mergeCell ref="C42:E42"/>
    <mergeCell ref="B25:E25"/>
    <mergeCell ref="C21:E21"/>
    <mergeCell ref="A1:B1"/>
    <mergeCell ref="C5:E5"/>
    <mergeCell ref="B6:D6"/>
    <mergeCell ref="B9:D9"/>
    <mergeCell ref="C11:E11"/>
    <mergeCell ref="B12:D12"/>
    <mergeCell ref="C14:E14"/>
    <mergeCell ref="B15:D15"/>
    <mergeCell ref="B17:C17"/>
    <mergeCell ref="B19:E19"/>
    <mergeCell ref="C20:E20"/>
  </mergeCells>
  <pageMargins left="0.70866141732283472" right="0.70866141732283472" top="0.74803149606299213" bottom="0.74803149606299213" header="0.31496062992125984" footer="0.31496062992125984"/>
  <pageSetup paperSize="9" scale="29" fitToWidth="70" fitToHeight="2" orientation="landscape" horizontalDpi="4294967292"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43DF7-11EE-44A0-8D12-2BCF15054AE3}">
  <sheetPr>
    <pageSetUpPr fitToPage="1"/>
  </sheetPr>
  <dimension ref="A1:Q115"/>
  <sheetViews>
    <sheetView view="pageBreakPreview" topLeftCell="B69" zoomScale="60" zoomScaleNormal="42" workbookViewId="0">
      <selection activeCell="G101" sqref="G101"/>
    </sheetView>
  </sheetViews>
  <sheetFormatPr defaultColWidth="8.6640625" defaultRowHeight="21" x14ac:dyDescent="0.3"/>
  <cols>
    <col min="1" max="1" width="8.6640625" style="1"/>
    <col min="2" max="2" width="58.33203125" style="1" customWidth="1"/>
    <col min="3" max="3" width="81" style="1" customWidth="1"/>
    <col min="4" max="4" width="73.109375" style="1" customWidth="1"/>
    <col min="5" max="5" width="27.6640625" style="1" customWidth="1"/>
    <col min="6" max="6" width="18.109375" style="1" customWidth="1"/>
    <col min="7" max="7" width="14.77734375" style="1" customWidth="1"/>
    <col min="8" max="8" width="22.6640625" style="1" customWidth="1"/>
    <col min="9" max="9" width="15.6640625" style="1" customWidth="1"/>
    <col min="10" max="10" width="18" style="1" customWidth="1"/>
    <col min="11" max="11" width="16.109375" style="1" customWidth="1"/>
    <col min="12" max="12" width="13" style="1" customWidth="1"/>
    <col min="13" max="13" width="12.33203125" style="1" customWidth="1"/>
    <col min="14" max="14" width="14.44140625" style="1" customWidth="1"/>
    <col min="15" max="16384" width="8.6640625" style="1"/>
  </cols>
  <sheetData>
    <row r="1" spans="1:5" ht="20.25" customHeight="1" x14ac:dyDescent="0.3">
      <c r="A1" s="246" t="s">
        <v>0</v>
      </c>
      <c r="B1" s="246"/>
      <c r="D1" s="2"/>
    </row>
    <row r="3" spans="1:5" ht="40.799999999999997" x14ac:dyDescent="0.3">
      <c r="A3" s="3" t="s">
        <v>1</v>
      </c>
      <c r="B3" s="54" t="s">
        <v>2</v>
      </c>
      <c r="C3" s="5" t="s">
        <v>323</v>
      </c>
    </row>
    <row r="4" spans="1:5" x14ac:dyDescent="0.3">
      <c r="D4" s="22"/>
    </row>
    <row r="5" spans="1:5" x14ac:dyDescent="0.3">
      <c r="A5" s="62">
        <v>1</v>
      </c>
      <c r="B5" s="63" t="s">
        <v>3</v>
      </c>
      <c r="C5" s="247" t="s">
        <v>799</v>
      </c>
      <c r="D5" s="248"/>
      <c r="E5" s="249"/>
    </row>
    <row r="6" spans="1:5" x14ac:dyDescent="0.3">
      <c r="A6" s="3"/>
      <c r="B6" s="250" t="s">
        <v>4</v>
      </c>
      <c r="C6" s="251"/>
      <c r="D6" s="252"/>
      <c r="E6" s="10"/>
    </row>
    <row r="7" spans="1:5" x14ac:dyDescent="0.3">
      <c r="A7" s="3"/>
      <c r="B7" s="2"/>
      <c r="D7" s="22"/>
    </row>
    <row r="8" spans="1:5" x14ac:dyDescent="0.3">
      <c r="A8" s="3">
        <v>2</v>
      </c>
      <c r="B8" s="63" t="s">
        <v>5</v>
      </c>
      <c r="C8" s="12" t="s">
        <v>324</v>
      </c>
      <c r="D8" s="22"/>
    </row>
    <row r="9" spans="1:5" x14ac:dyDescent="0.3">
      <c r="A9" s="3"/>
      <c r="B9" s="250" t="s">
        <v>4</v>
      </c>
      <c r="C9" s="251"/>
      <c r="D9" s="252"/>
    </row>
    <row r="10" spans="1:5" x14ac:dyDescent="0.3">
      <c r="A10" s="3"/>
      <c r="B10" s="2"/>
      <c r="D10" s="22"/>
    </row>
    <row r="11" spans="1:5" ht="40.950000000000003" customHeight="1" x14ac:dyDescent="0.3">
      <c r="A11" s="3">
        <v>3</v>
      </c>
      <c r="B11" s="63" t="s">
        <v>6</v>
      </c>
      <c r="C11" s="247" t="s">
        <v>90</v>
      </c>
      <c r="D11" s="248"/>
      <c r="E11" s="249"/>
    </row>
    <row r="12" spans="1:5" x14ac:dyDescent="0.3">
      <c r="A12" s="3"/>
      <c r="B12" s="250" t="s">
        <v>4</v>
      </c>
      <c r="C12" s="251"/>
      <c r="D12" s="252"/>
      <c r="E12" s="10"/>
    </row>
    <row r="13" spans="1:5" x14ac:dyDescent="0.3">
      <c r="A13" s="3"/>
      <c r="B13" s="2"/>
      <c r="D13" s="22"/>
    </row>
    <row r="14" spans="1:5" x14ac:dyDescent="0.3">
      <c r="A14" s="3">
        <v>4</v>
      </c>
      <c r="B14" s="54" t="s">
        <v>92</v>
      </c>
      <c r="C14" s="247" t="s">
        <v>90</v>
      </c>
      <c r="D14" s="248"/>
      <c r="E14" s="249"/>
    </row>
    <row r="15" spans="1:5" x14ac:dyDescent="0.3">
      <c r="A15" s="3"/>
      <c r="B15" s="250" t="s">
        <v>4</v>
      </c>
      <c r="C15" s="251"/>
      <c r="D15" s="252"/>
    </row>
    <row r="16" spans="1:5" x14ac:dyDescent="0.3">
      <c r="A16" s="3">
        <v>4</v>
      </c>
      <c r="B16" s="54" t="s">
        <v>7</v>
      </c>
      <c r="C16" s="5" t="s">
        <v>325</v>
      </c>
      <c r="D16" s="22"/>
    </row>
    <row r="17" spans="1:14" x14ac:dyDescent="0.3">
      <c r="A17" s="3"/>
      <c r="B17" s="253" t="s">
        <v>8</v>
      </c>
      <c r="C17" s="254"/>
      <c r="D17" s="22"/>
    </row>
    <row r="18" spans="1:14" x14ac:dyDescent="0.3">
      <c r="A18" s="3"/>
      <c r="D18" s="22"/>
    </row>
    <row r="19" spans="1:14" x14ac:dyDescent="0.3">
      <c r="A19" s="3">
        <v>5</v>
      </c>
      <c r="B19" s="255" t="s">
        <v>9</v>
      </c>
      <c r="C19" s="256"/>
      <c r="D19" s="256"/>
      <c r="E19" s="257"/>
      <c r="F19" s="2"/>
      <c r="G19" s="2"/>
      <c r="H19" s="2"/>
      <c r="I19" s="2"/>
      <c r="J19" s="10"/>
      <c r="K19" s="10"/>
      <c r="L19" s="10"/>
      <c r="M19" s="10"/>
      <c r="N19" s="10"/>
    </row>
    <row r="20" spans="1:14" x14ac:dyDescent="0.3">
      <c r="A20" s="3"/>
      <c r="B20" s="65" t="s">
        <v>10</v>
      </c>
      <c r="C20" s="243">
        <v>2.2000000000000001E-3</v>
      </c>
      <c r="D20" s="244"/>
      <c r="E20" s="245"/>
      <c r="F20" s="66"/>
      <c r="G20" s="10"/>
      <c r="H20" s="10"/>
      <c r="I20" s="10"/>
      <c r="J20" s="10"/>
      <c r="K20" s="10"/>
      <c r="L20" s="10"/>
      <c r="M20" s="10"/>
      <c r="N20" s="10"/>
    </row>
    <row r="21" spans="1:14" ht="61.2" x14ac:dyDescent="0.3">
      <c r="A21" s="3"/>
      <c r="B21" s="65" t="s">
        <v>300</v>
      </c>
      <c r="C21" s="430" t="s">
        <v>493</v>
      </c>
      <c r="D21" s="431"/>
      <c r="E21" s="432"/>
      <c r="F21" s="66"/>
      <c r="G21" s="10"/>
      <c r="I21" s="10"/>
      <c r="J21" s="10"/>
      <c r="K21" s="10"/>
      <c r="L21" s="10"/>
      <c r="M21" s="10"/>
      <c r="N21" s="10"/>
    </row>
    <row r="22" spans="1:14" x14ac:dyDescent="0.3">
      <c r="A22" s="3"/>
      <c r="B22" s="65" t="s">
        <v>243</v>
      </c>
      <c r="C22" s="243">
        <v>2.9999999999999997E-4</v>
      </c>
      <c r="D22" s="439"/>
      <c r="E22" s="440"/>
      <c r="F22" s="66"/>
      <c r="G22" s="10"/>
      <c r="H22" s="10"/>
      <c r="I22" s="10"/>
      <c r="J22" s="10"/>
      <c r="K22" s="10"/>
      <c r="L22" s="10"/>
      <c r="M22" s="10"/>
      <c r="N22" s="10"/>
    </row>
    <row r="23" spans="1:14" x14ac:dyDescent="0.3">
      <c r="A23" s="3"/>
      <c r="B23" s="65" t="s">
        <v>252</v>
      </c>
      <c r="C23" s="369">
        <v>9.7999999999999997E-3</v>
      </c>
      <c r="D23" s="370"/>
      <c r="E23" s="371"/>
      <c r="F23" s="66"/>
      <c r="G23" s="10"/>
      <c r="H23" s="10"/>
      <c r="I23" s="10"/>
      <c r="J23" s="10"/>
      <c r="K23" s="10"/>
      <c r="L23" s="10"/>
      <c r="M23" s="10"/>
      <c r="N23" s="10"/>
    </row>
    <row r="24" spans="1:14" x14ac:dyDescent="0.3">
      <c r="A24" s="3"/>
      <c r="B24" s="67" t="s">
        <v>253</v>
      </c>
      <c r="C24" s="400">
        <v>7.4800000000000005E-2</v>
      </c>
      <c r="D24" s="401"/>
      <c r="E24" s="401"/>
      <c r="F24" s="66"/>
      <c r="G24" s="10"/>
      <c r="H24" s="10"/>
      <c r="I24" s="10"/>
      <c r="J24" s="10"/>
      <c r="K24" s="10"/>
      <c r="L24" s="10"/>
      <c r="M24" s="10"/>
      <c r="N24" s="10"/>
    </row>
    <row r="25" spans="1:14" ht="40.5" customHeight="1" x14ac:dyDescent="0.3">
      <c r="A25" s="3"/>
      <c r="B25" s="445" t="s">
        <v>793</v>
      </c>
      <c r="C25" s="445"/>
      <c r="D25" s="445"/>
      <c r="E25" s="445"/>
      <c r="F25" s="66"/>
      <c r="G25" s="10"/>
      <c r="H25" s="10"/>
      <c r="I25" s="10"/>
      <c r="J25" s="10"/>
      <c r="K25" s="10"/>
      <c r="L25" s="10"/>
      <c r="M25" s="10"/>
      <c r="N25" s="10"/>
    </row>
    <row r="26" spans="1:14" x14ac:dyDescent="0.3">
      <c r="A26" s="3">
        <v>6</v>
      </c>
      <c r="B26" s="261" t="s">
        <v>74</v>
      </c>
      <c r="C26" s="262"/>
      <c r="D26" s="262"/>
      <c r="E26" s="263"/>
      <c r="F26" s="2"/>
      <c r="G26" s="2"/>
      <c r="H26" s="10"/>
      <c r="I26" s="2"/>
      <c r="J26" s="2"/>
    </row>
    <row r="27" spans="1:14" x14ac:dyDescent="0.3">
      <c r="A27" s="3"/>
      <c r="B27" s="264" t="s">
        <v>17</v>
      </c>
      <c r="C27" s="265"/>
      <c r="D27" s="265"/>
      <c r="E27" s="266"/>
      <c r="F27" s="66"/>
    </row>
    <row r="28" spans="1:14" x14ac:dyDescent="0.3">
      <c r="A28" s="3"/>
      <c r="B28" s="67" t="s">
        <v>18</v>
      </c>
      <c r="C28" s="25" t="s">
        <v>244</v>
      </c>
      <c r="D28" s="25" t="s">
        <v>245</v>
      </c>
      <c r="E28" s="25" t="s">
        <v>246</v>
      </c>
      <c r="F28" s="66"/>
    </row>
    <row r="29" spans="1:14" ht="20.7" customHeight="1" x14ac:dyDescent="0.3">
      <c r="A29" s="3"/>
      <c r="B29" s="68" t="s">
        <v>21</v>
      </c>
      <c r="C29" s="5">
        <v>14336.47</v>
      </c>
      <c r="D29" s="5">
        <v>19100.900000000001</v>
      </c>
      <c r="E29" s="175">
        <v>23869.97</v>
      </c>
      <c r="F29" s="66"/>
    </row>
    <row r="30" spans="1:14" x14ac:dyDescent="0.3">
      <c r="A30" s="3"/>
      <c r="B30" s="68" t="s">
        <v>23</v>
      </c>
      <c r="C30" s="5">
        <v>411.78</v>
      </c>
      <c r="D30" s="5">
        <v>780.26</v>
      </c>
      <c r="E30" s="175">
        <v>1319.6</v>
      </c>
      <c r="F30" s="66"/>
    </row>
    <row r="31" spans="1:14" x14ac:dyDescent="0.3">
      <c r="A31" s="3"/>
      <c r="B31" s="68" t="s">
        <v>24</v>
      </c>
      <c r="C31" s="5">
        <v>1080.96</v>
      </c>
      <c r="D31" s="5">
        <v>1080.96</v>
      </c>
      <c r="E31" s="175">
        <v>1157.46</v>
      </c>
      <c r="F31" s="66"/>
      <c r="H31" s="57"/>
    </row>
    <row r="32" spans="1:14" x14ac:dyDescent="0.3">
      <c r="A32" s="3"/>
      <c r="B32" s="68" t="s">
        <v>25</v>
      </c>
      <c r="C32" s="5">
        <v>4710.41</v>
      </c>
      <c r="D32" s="5">
        <v>5436.62</v>
      </c>
      <c r="E32" s="175">
        <v>7242.08</v>
      </c>
      <c r="F32" s="66"/>
    </row>
    <row r="33" spans="1:10" x14ac:dyDescent="0.3">
      <c r="A33" s="3"/>
      <c r="B33" s="253" t="s">
        <v>800</v>
      </c>
      <c r="C33" s="270"/>
      <c r="D33" s="270"/>
      <c r="E33" s="254"/>
      <c r="F33" s="66"/>
    </row>
    <row r="34" spans="1:10" x14ac:dyDescent="0.3">
      <c r="A34" s="3"/>
      <c r="B34" s="10"/>
      <c r="C34" s="66"/>
      <c r="D34" s="66"/>
      <c r="E34" s="66"/>
      <c r="F34" s="66"/>
    </row>
    <row r="35" spans="1:10" ht="41.7" customHeight="1" x14ac:dyDescent="0.3">
      <c r="A35" s="3">
        <v>7</v>
      </c>
      <c r="B35" s="261" t="s">
        <v>26</v>
      </c>
      <c r="C35" s="262"/>
      <c r="D35" s="262"/>
      <c r="E35" s="263"/>
      <c r="F35" s="2"/>
      <c r="G35" s="2"/>
      <c r="H35" s="2"/>
      <c r="I35" s="2"/>
      <c r="J35" s="2"/>
    </row>
    <row r="36" spans="1:10" x14ac:dyDescent="0.3">
      <c r="A36" s="3"/>
      <c r="B36" s="67" t="s">
        <v>247</v>
      </c>
      <c r="C36" s="27" t="s">
        <v>496</v>
      </c>
      <c r="D36" s="5"/>
      <c r="E36" s="5"/>
      <c r="F36" s="10"/>
    </row>
    <row r="37" spans="1:10" x14ac:dyDescent="0.3">
      <c r="A37" s="3"/>
      <c r="B37" s="67" t="s">
        <v>28</v>
      </c>
      <c r="C37" s="27" t="s">
        <v>496</v>
      </c>
      <c r="D37" s="10"/>
      <c r="E37" s="10"/>
      <c r="F37" s="10"/>
    </row>
    <row r="38" spans="1:10" x14ac:dyDescent="0.3">
      <c r="A38" s="3"/>
      <c r="B38" s="67" t="s">
        <v>29</v>
      </c>
      <c r="C38" s="27" t="s">
        <v>496</v>
      </c>
      <c r="D38" s="10"/>
      <c r="E38" s="10"/>
      <c r="F38" s="10"/>
    </row>
    <row r="39" spans="1:10" ht="42" customHeight="1" x14ac:dyDescent="0.3">
      <c r="A39" s="3"/>
      <c r="B39" s="271" t="s">
        <v>326</v>
      </c>
      <c r="C39" s="271"/>
      <c r="D39" s="271"/>
      <c r="E39" s="10"/>
      <c r="F39" s="10"/>
    </row>
    <row r="40" spans="1:10" x14ac:dyDescent="0.3">
      <c r="A40" s="3"/>
      <c r="B40" s="66"/>
      <c r="C40" s="10"/>
      <c r="D40" s="10"/>
      <c r="E40" s="10"/>
      <c r="F40" s="10"/>
    </row>
    <row r="41" spans="1:10" x14ac:dyDescent="0.3">
      <c r="A41" s="3">
        <v>8</v>
      </c>
      <c r="B41" s="261" t="s">
        <v>30</v>
      </c>
      <c r="C41" s="262"/>
      <c r="D41" s="262"/>
      <c r="E41" s="263"/>
      <c r="F41" s="2"/>
      <c r="G41" s="2"/>
      <c r="H41" s="2"/>
      <c r="I41" s="2"/>
      <c r="J41" s="2"/>
    </row>
    <row r="42" spans="1:10" x14ac:dyDescent="0.3">
      <c r="A42" s="3"/>
      <c r="B42" s="67" t="s">
        <v>31</v>
      </c>
      <c r="C42" s="258" t="s">
        <v>11</v>
      </c>
      <c r="D42" s="259"/>
      <c r="E42" s="260"/>
      <c r="F42" s="10"/>
    </row>
    <row r="43" spans="1:10" ht="61.8" customHeight="1" x14ac:dyDescent="0.3">
      <c r="A43" s="3"/>
      <c r="B43" s="67" t="s">
        <v>28</v>
      </c>
      <c r="C43" s="258" t="s">
        <v>704</v>
      </c>
      <c r="D43" s="259"/>
      <c r="E43" s="260"/>
      <c r="F43" s="10"/>
    </row>
    <row r="44" spans="1:10" ht="68.400000000000006" customHeight="1" x14ac:dyDescent="0.3">
      <c r="A44" s="3"/>
      <c r="B44" s="67" t="s">
        <v>29</v>
      </c>
      <c r="C44" s="258" t="s">
        <v>908</v>
      </c>
      <c r="D44" s="259"/>
      <c r="E44" s="260"/>
      <c r="F44" s="10"/>
    </row>
    <row r="45" spans="1:10" x14ac:dyDescent="0.3">
      <c r="A45" s="3"/>
      <c r="B45" s="253" t="s">
        <v>802</v>
      </c>
      <c r="C45" s="270"/>
      <c r="D45" s="270"/>
      <c r="E45" s="254"/>
      <c r="F45" s="10"/>
    </row>
    <row r="46" spans="1:10" x14ac:dyDescent="0.3">
      <c r="A46" s="3"/>
      <c r="D46" s="22"/>
      <c r="E46" s="10"/>
    </row>
    <row r="47" spans="1:10" ht="83.4" customHeight="1" x14ac:dyDescent="0.3">
      <c r="A47" s="191">
        <v>9</v>
      </c>
      <c r="B47" s="262" t="s">
        <v>32</v>
      </c>
      <c r="C47" s="262"/>
      <c r="D47" s="262"/>
      <c r="E47" s="263"/>
      <c r="F47" s="2"/>
      <c r="G47" s="2"/>
      <c r="H47" s="2"/>
      <c r="I47" s="2"/>
    </row>
    <row r="48" spans="1:10" ht="81.599999999999994" x14ac:dyDescent="0.25">
      <c r="A48" s="191"/>
      <c r="B48" s="24" t="s">
        <v>33</v>
      </c>
      <c r="C48" s="25" t="s">
        <v>34</v>
      </c>
      <c r="D48" s="25" t="s">
        <v>96</v>
      </c>
      <c r="E48" s="25" t="s">
        <v>35</v>
      </c>
      <c r="F48" s="220"/>
    </row>
    <row r="49" spans="1:14" ht="166.2" customHeight="1" x14ac:dyDescent="0.25">
      <c r="A49" s="191"/>
      <c r="B49" s="189" t="s">
        <v>261</v>
      </c>
      <c r="C49" s="27" t="s">
        <v>327</v>
      </c>
      <c r="D49" s="27" t="s">
        <v>871</v>
      </c>
      <c r="E49" s="27" t="s">
        <v>50</v>
      </c>
      <c r="F49" s="220"/>
      <c r="G49" s="220"/>
    </row>
    <row r="50" spans="1:14" x14ac:dyDescent="0.3">
      <c r="A50" s="191"/>
      <c r="B50" s="270"/>
      <c r="C50" s="270"/>
      <c r="D50" s="270"/>
      <c r="E50" s="254"/>
    </row>
    <row r="51" spans="1:14" x14ac:dyDescent="0.3">
      <c r="A51" s="191"/>
      <c r="B51" s="103" t="s">
        <v>804</v>
      </c>
      <c r="C51" s="87"/>
      <c r="D51" s="87"/>
      <c r="E51" s="87"/>
    </row>
    <row r="52" spans="1:14" x14ac:dyDescent="0.3">
      <c r="A52" s="191"/>
      <c r="B52" s="28"/>
      <c r="C52" s="22"/>
      <c r="D52" s="22"/>
      <c r="E52" s="22"/>
      <c r="F52" s="66"/>
      <c r="G52" s="66"/>
      <c r="H52" s="66"/>
      <c r="I52" s="66"/>
    </row>
    <row r="53" spans="1:14" ht="43.2" customHeight="1" x14ac:dyDescent="0.3">
      <c r="A53" s="191">
        <v>10</v>
      </c>
      <c r="B53" s="262" t="s">
        <v>32</v>
      </c>
      <c r="C53" s="262"/>
      <c r="D53" s="262"/>
      <c r="E53" s="263"/>
      <c r="F53" s="66"/>
      <c r="G53" s="66"/>
      <c r="H53" s="66"/>
    </row>
    <row r="54" spans="1:14" x14ac:dyDescent="0.3">
      <c r="A54" s="191"/>
      <c r="B54" s="275" t="s">
        <v>36</v>
      </c>
      <c r="C54" s="277" t="s">
        <v>327</v>
      </c>
      <c r="D54" s="278"/>
      <c r="E54" s="279"/>
      <c r="K54" s="2"/>
    </row>
    <row r="55" spans="1:14" ht="100.2" customHeight="1" x14ac:dyDescent="0.3">
      <c r="A55" s="191"/>
      <c r="B55" s="276"/>
      <c r="C55" s="280"/>
      <c r="D55" s="281"/>
      <c r="E55" s="282"/>
      <c r="K55" s="2"/>
    </row>
    <row r="56" spans="1:14" ht="123.6" customHeight="1" x14ac:dyDescent="0.3">
      <c r="A56" s="191"/>
      <c r="B56" s="29" t="s">
        <v>37</v>
      </c>
      <c r="C56" s="446" t="s">
        <v>871</v>
      </c>
      <c r="D56" s="446"/>
      <c r="E56" s="446"/>
    </row>
    <row r="57" spans="1:14" x14ac:dyDescent="0.3">
      <c r="A57" s="191"/>
      <c r="B57" s="29" t="s">
        <v>38</v>
      </c>
      <c r="C57" s="176" t="s">
        <v>232</v>
      </c>
      <c r="D57" s="177"/>
      <c r="E57" s="178"/>
      <c r="K57" s="30"/>
    </row>
    <row r="58" spans="1:14" s="32" customFormat="1" x14ac:dyDescent="0.4">
      <c r="A58" s="111" t="s">
        <v>39</v>
      </c>
      <c r="B58" s="290" t="s">
        <v>805</v>
      </c>
      <c r="C58" s="290"/>
      <c r="D58" s="290"/>
      <c r="E58" s="291"/>
    </row>
    <row r="59" spans="1:14" x14ac:dyDescent="0.3">
      <c r="A59" s="191"/>
      <c r="B59" s="73" t="s">
        <v>552</v>
      </c>
      <c r="C59" s="73"/>
      <c r="D59" s="73"/>
      <c r="E59" s="73"/>
      <c r="F59" s="73"/>
    </row>
    <row r="60" spans="1:14" x14ac:dyDescent="0.3">
      <c r="A60" s="3">
        <v>11</v>
      </c>
      <c r="B60" s="54" t="s">
        <v>41</v>
      </c>
      <c r="C60" s="270" t="s">
        <v>121</v>
      </c>
      <c r="D60" s="270"/>
      <c r="E60" s="270"/>
      <c r="F60" s="2"/>
      <c r="G60" s="2"/>
      <c r="H60" s="74"/>
      <c r="I60" s="2"/>
      <c r="J60" s="2"/>
    </row>
    <row r="61" spans="1:14" ht="20.7" customHeight="1" x14ac:dyDescent="0.3">
      <c r="A61" s="3"/>
      <c r="B61" s="66"/>
      <c r="C61" s="270"/>
      <c r="D61" s="270"/>
      <c r="E61" s="270"/>
      <c r="F61" s="66"/>
      <c r="G61" s="66"/>
      <c r="H61" s="75"/>
      <c r="I61" s="75"/>
      <c r="J61" s="66"/>
    </row>
    <row r="62" spans="1:14" s="42" customFormat="1" x14ac:dyDescent="0.3">
      <c r="A62" s="76">
        <v>12</v>
      </c>
      <c r="B62" s="77" t="s">
        <v>42</v>
      </c>
      <c r="C62" s="272"/>
      <c r="D62" s="273"/>
      <c r="E62" s="274"/>
      <c r="F62" s="78"/>
      <c r="G62" s="79"/>
      <c r="H62" s="79"/>
      <c r="I62" s="79"/>
      <c r="J62" s="79"/>
      <c r="K62" s="79"/>
      <c r="L62" s="79"/>
      <c r="M62" s="79"/>
      <c r="N62" s="79"/>
    </row>
    <row r="63" spans="1:14" x14ac:dyDescent="0.3">
      <c r="A63" s="3"/>
      <c r="B63" s="2"/>
      <c r="C63" s="2"/>
      <c r="D63" s="2"/>
      <c r="E63" s="74"/>
      <c r="F63" s="74"/>
      <c r="G63" s="74"/>
      <c r="H63" s="2"/>
      <c r="I63" s="2"/>
      <c r="J63" s="2"/>
      <c r="K63" s="2"/>
      <c r="L63" s="2"/>
      <c r="M63" s="2"/>
      <c r="N63" s="2"/>
    </row>
    <row r="64" spans="1:14" x14ac:dyDescent="0.3">
      <c r="A64" s="3"/>
      <c r="B64" s="67" t="s">
        <v>43</v>
      </c>
      <c r="C64" s="68" t="s">
        <v>328</v>
      </c>
      <c r="D64" s="66"/>
      <c r="E64" s="66"/>
      <c r="F64" s="75"/>
      <c r="G64" s="75"/>
      <c r="H64" s="66"/>
      <c r="I64" s="66"/>
      <c r="J64" s="66"/>
      <c r="K64" s="66"/>
      <c r="L64" s="66"/>
      <c r="M64" s="66"/>
      <c r="N64" s="66"/>
    </row>
    <row r="65" spans="1:14" x14ac:dyDescent="0.3">
      <c r="A65" s="3"/>
      <c r="B65" s="66"/>
      <c r="C65" s="66"/>
      <c r="D65" s="66"/>
      <c r="E65" s="66"/>
      <c r="F65" s="66"/>
      <c r="G65" s="66"/>
      <c r="H65" s="66"/>
      <c r="I65" s="66"/>
      <c r="J65" s="66"/>
      <c r="K65" s="66"/>
      <c r="L65" s="66"/>
      <c r="M65" s="66"/>
      <c r="N65" s="66"/>
    </row>
    <row r="66" spans="1:14" ht="87.6" customHeight="1" x14ac:dyDescent="0.3">
      <c r="A66" s="3"/>
      <c r="B66" s="295" t="s">
        <v>44</v>
      </c>
      <c r="C66" s="295" t="s">
        <v>329</v>
      </c>
      <c r="D66" s="295" t="s">
        <v>68</v>
      </c>
      <c r="E66" s="297" t="s">
        <v>45</v>
      </c>
      <c r="F66" s="292" t="s">
        <v>254</v>
      </c>
      <c r="G66" s="293"/>
      <c r="H66" s="294"/>
      <c r="I66" s="292" t="s">
        <v>255</v>
      </c>
      <c r="J66" s="293"/>
      <c r="K66" s="294"/>
      <c r="L66" s="292" t="s">
        <v>197</v>
      </c>
      <c r="M66" s="293"/>
      <c r="N66" s="294"/>
    </row>
    <row r="67" spans="1:14" ht="61.2" x14ac:dyDescent="0.3">
      <c r="A67" s="3"/>
      <c r="B67" s="296"/>
      <c r="C67" s="296"/>
      <c r="D67" s="296"/>
      <c r="E67" s="298"/>
      <c r="F67" s="67" t="s">
        <v>46</v>
      </c>
      <c r="G67" s="67" t="s">
        <v>47</v>
      </c>
      <c r="H67" s="67" t="s">
        <v>48</v>
      </c>
      <c r="I67" s="67" t="s">
        <v>49</v>
      </c>
      <c r="J67" s="67" t="s">
        <v>47</v>
      </c>
      <c r="K67" s="67" t="s">
        <v>48</v>
      </c>
      <c r="L67" s="67" t="s">
        <v>49</v>
      </c>
      <c r="M67" s="67" t="s">
        <v>47</v>
      </c>
      <c r="N67" s="67" t="s">
        <v>48</v>
      </c>
    </row>
    <row r="68" spans="1:14" ht="105" customHeight="1" x14ac:dyDescent="0.3">
      <c r="A68" s="3"/>
      <c r="B68" s="67" t="s">
        <v>803</v>
      </c>
      <c r="C68" s="81">
        <v>86.1</v>
      </c>
      <c r="D68" s="82">
        <v>67.8</v>
      </c>
      <c r="E68" s="138">
        <v>60.6</v>
      </c>
      <c r="F68" s="121">
        <v>54.75</v>
      </c>
      <c r="G68" s="121">
        <v>76.900000000000006</v>
      </c>
      <c r="H68" s="121">
        <v>52.3</v>
      </c>
      <c r="I68" s="121">
        <v>217.6</v>
      </c>
      <c r="J68" s="121">
        <v>229.8</v>
      </c>
      <c r="K68" s="121">
        <v>98</v>
      </c>
      <c r="L68" s="121">
        <v>250.15</v>
      </c>
      <c r="M68" s="121">
        <v>274.05</v>
      </c>
      <c r="N68" s="121">
        <v>174.25</v>
      </c>
    </row>
    <row r="69" spans="1:14" ht="40.799999999999997" x14ac:dyDescent="0.3">
      <c r="A69" s="3"/>
      <c r="B69" s="69" t="s">
        <v>67</v>
      </c>
      <c r="C69" s="82">
        <v>19671.099999999999</v>
      </c>
      <c r="D69" s="82">
        <v>19765.2</v>
      </c>
      <c r="E69" s="139">
        <v>22097.45</v>
      </c>
      <c r="F69" s="121">
        <v>22326.9</v>
      </c>
      <c r="G69" s="81">
        <v>22526.6</v>
      </c>
      <c r="H69" s="121">
        <v>17312.75</v>
      </c>
      <c r="I69" s="121">
        <v>23519.35</v>
      </c>
      <c r="J69" s="121">
        <v>26277.35</v>
      </c>
      <c r="K69" s="121">
        <v>21281.45</v>
      </c>
      <c r="L69" s="121">
        <v>22331.4</v>
      </c>
      <c r="M69" s="121">
        <v>26373.200000000001</v>
      </c>
      <c r="N69" s="121">
        <v>21743.65</v>
      </c>
    </row>
    <row r="70" spans="1:14" x14ac:dyDescent="0.3">
      <c r="A70" s="3"/>
      <c r="B70" s="253" t="s">
        <v>99</v>
      </c>
      <c r="C70" s="270"/>
      <c r="D70" s="270"/>
      <c r="E70" s="270"/>
      <c r="F70" s="270"/>
      <c r="G70" s="270"/>
      <c r="H70" s="270"/>
      <c r="I70" s="270"/>
      <c r="J70" s="270"/>
      <c r="K70" s="270"/>
      <c r="L70" s="270"/>
      <c r="M70" s="270"/>
      <c r="N70" s="254"/>
    </row>
    <row r="71" spans="1:14" x14ac:dyDescent="0.3">
      <c r="A71" s="3"/>
      <c r="B71" s="253" t="s">
        <v>84</v>
      </c>
      <c r="C71" s="270"/>
      <c r="D71" s="270"/>
      <c r="E71" s="270"/>
      <c r="F71" s="254"/>
      <c r="G71" s="83"/>
      <c r="H71" s="83"/>
      <c r="I71" s="83"/>
      <c r="J71" s="83"/>
      <c r="K71" s="83"/>
      <c r="L71" s="83"/>
      <c r="M71" s="83"/>
      <c r="N71" s="83"/>
    </row>
    <row r="72" spans="1:14" x14ac:dyDescent="0.3">
      <c r="A72" s="3"/>
      <c r="B72" s="253" t="s">
        <v>760</v>
      </c>
      <c r="C72" s="270"/>
      <c r="D72" s="270"/>
      <c r="E72" s="270"/>
      <c r="F72" s="254"/>
      <c r="G72" s="83"/>
      <c r="H72" s="83"/>
      <c r="I72" s="83"/>
      <c r="J72" s="83"/>
      <c r="K72" s="83"/>
      <c r="L72" s="83"/>
      <c r="M72" s="83"/>
      <c r="N72" s="83"/>
    </row>
    <row r="73" spans="1:14" x14ac:dyDescent="0.3">
      <c r="A73" s="3"/>
      <c r="B73" s="253" t="s">
        <v>71</v>
      </c>
      <c r="C73" s="270"/>
      <c r="D73" s="270"/>
      <c r="E73" s="270"/>
      <c r="F73" s="254"/>
      <c r="G73" s="83"/>
      <c r="H73" s="83"/>
      <c r="I73" s="83"/>
      <c r="J73" s="83"/>
      <c r="K73" s="83"/>
      <c r="L73" s="83"/>
      <c r="M73" s="83"/>
      <c r="N73" s="83"/>
    </row>
    <row r="74" spans="1:14" ht="20.25" hidden="1" customHeight="1" x14ac:dyDescent="0.3">
      <c r="A74" s="3"/>
      <c r="B74" s="270" t="s">
        <v>641</v>
      </c>
      <c r="C74" s="270"/>
      <c r="D74" s="84"/>
      <c r="E74" s="84"/>
      <c r="F74" s="84"/>
      <c r="G74" s="10"/>
      <c r="H74" s="10"/>
      <c r="I74" s="10"/>
      <c r="J74" s="10"/>
      <c r="K74" s="10"/>
      <c r="L74" s="10"/>
      <c r="M74" s="10"/>
      <c r="N74" s="10"/>
    </row>
    <row r="75" spans="1:14" ht="39" customHeight="1" x14ac:dyDescent="0.3">
      <c r="A75" s="3">
        <v>13</v>
      </c>
      <c r="B75" s="261" t="s">
        <v>51</v>
      </c>
      <c r="C75" s="262"/>
      <c r="D75" s="262"/>
      <c r="E75" s="262"/>
      <c r="F75" s="262"/>
      <c r="G75" s="263"/>
      <c r="H75" s="2"/>
      <c r="I75" s="2"/>
      <c r="J75" s="2"/>
      <c r="K75" s="2"/>
      <c r="L75" s="2"/>
      <c r="M75" s="2"/>
      <c r="N75" s="2"/>
    </row>
    <row r="76" spans="1:14" x14ac:dyDescent="0.3">
      <c r="A76" s="3"/>
      <c r="C76" s="66"/>
      <c r="D76" s="66"/>
      <c r="E76" s="66"/>
      <c r="F76" s="66"/>
      <c r="G76" s="66"/>
      <c r="H76" s="66"/>
      <c r="I76" s="66"/>
      <c r="J76" s="66"/>
      <c r="K76" s="66"/>
      <c r="L76" s="66"/>
      <c r="M76" s="66"/>
      <c r="N76" s="66"/>
    </row>
    <row r="77" spans="1:14" ht="40.799999999999997" x14ac:dyDescent="0.3">
      <c r="A77" s="3"/>
      <c r="B77" s="25" t="s">
        <v>52</v>
      </c>
      <c r="C77" s="25" t="s">
        <v>53</v>
      </c>
      <c r="D77" s="25" t="s">
        <v>259</v>
      </c>
      <c r="E77" s="25" t="s">
        <v>54</v>
      </c>
      <c r="F77" s="25" t="s">
        <v>55</v>
      </c>
      <c r="G77" s="25" t="s">
        <v>56</v>
      </c>
      <c r="H77" s="10"/>
      <c r="I77" s="10"/>
      <c r="J77" s="10"/>
      <c r="K77" s="10"/>
      <c r="L77" s="10"/>
      <c r="M77" s="10"/>
      <c r="N77" s="10"/>
    </row>
    <row r="78" spans="1:14" ht="21" customHeight="1" x14ac:dyDescent="0.3">
      <c r="A78" s="3"/>
      <c r="B78" s="297" t="s">
        <v>72</v>
      </c>
      <c r="C78" s="67" t="s">
        <v>666</v>
      </c>
      <c r="D78" s="135">
        <v>7.04</v>
      </c>
      <c r="E78" s="152">
        <v>3.81</v>
      </c>
      <c r="F78" s="88">
        <v>7.22</v>
      </c>
      <c r="G78" s="90">
        <v>11.4</v>
      </c>
    </row>
    <row r="79" spans="1:14" ht="21" customHeight="1" x14ac:dyDescent="0.3">
      <c r="A79" s="3"/>
      <c r="B79" s="309"/>
      <c r="C79" s="67" t="s">
        <v>237</v>
      </c>
      <c r="D79" s="135"/>
      <c r="E79" s="152"/>
      <c r="F79" s="88"/>
      <c r="G79" s="88"/>
    </row>
    <row r="80" spans="1:14" ht="21" customHeight="1" x14ac:dyDescent="0.3">
      <c r="A80" s="3"/>
      <c r="B80" s="309"/>
      <c r="C80" s="68" t="s">
        <v>667</v>
      </c>
      <c r="D80" s="135">
        <v>0.01</v>
      </c>
      <c r="E80" s="152">
        <v>0.06</v>
      </c>
      <c r="F80" s="88">
        <v>0.8</v>
      </c>
      <c r="G80" s="88">
        <v>1.47</v>
      </c>
    </row>
    <row r="81" spans="1:17" ht="21" customHeight="1" x14ac:dyDescent="0.3">
      <c r="A81" s="3"/>
      <c r="B81" s="309"/>
      <c r="C81" s="68" t="s">
        <v>668</v>
      </c>
      <c r="D81" s="135">
        <v>8.73</v>
      </c>
      <c r="E81" s="152">
        <v>3.91</v>
      </c>
      <c r="F81" s="88">
        <v>7</v>
      </c>
      <c r="G81" s="90">
        <v>4.4000000000000004</v>
      </c>
    </row>
    <row r="82" spans="1:17" ht="21" customHeight="1" x14ac:dyDescent="0.3">
      <c r="A82" s="3"/>
      <c r="B82" s="309"/>
      <c r="C82" s="68" t="s">
        <v>670</v>
      </c>
      <c r="D82" s="135">
        <v>21.94</v>
      </c>
      <c r="E82" s="152">
        <v>12.27</v>
      </c>
      <c r="F82" s="88">
        <v>2.56</v>
      </c>
      <c r="G82" s="88">
        <v>2.0499999999999998</v>
      </c>
    </row>
    <row r="83" spans="1:17" ht="21" customHeight="1" x14ac:dyDescent="0.3">
      <c r="A83" s="3"/>
      <c r="B83" s="298"/>
      <c r="C83" s="67" t="s">
        <v>295</v>
      </c>
      <c r="D83" s="140">
        <f>AVERAGE(D80:D82)</f>
        <v>10.226666666666667</v>
      </c>
      <c r="E83" s="164">
        <v>5.41</v>
      </c>
      <c r="F83" s="157">
        <f>AVERAGE(F80:F82)</f>
        <v>3.4533333333333331</v>
      </c>
      <c r="G83" s="157">
        <f>AVERAGE(G80:G82)</f>
        <v>2.64</v>
      </c>
    </row>
    <row r="84" spans="1:17" x14ac:dyDescent="0.3">
      <c r="A84" s="3"/>
      <c r="B84" s="297" t="s">
        <v>59</v>
      </c>
      <c r="C84" s="67" t="s">
        <v>330</v>
      </c>
      <c r="D84" s="135">
        <v>10.94</v>
      </c>
      <c r="E84" s="152">
        <v>14.37</v>
      </c>
      <c r="F84" s="90">
        <f>O84/F78</f>
        <v>30.138504155124654</v>
      </c>
      <c r="G84" s="90">
        <f>L68/G78</f>
        <v>21.942982456140349</v>
      </c>
      <c r="O84" s="172">
        <v>217.6</v>
      </c>
    </row>
    <row r="85" spans="1:17" x14ac:dyDescent="0.3">
      <c r="A85" s="3"/>
      <c r="B85" s="309"/>
      <c r="C85" s="67" t="s">
        <v>237</v>
      </c>
      <c r="D85" s="135"/>
      <c r="E85" s="152"/>
      <c r="F85" s="90"/>
      <c r="G85" s="88"/>
      <c r="O85" s="172"/>
    </row>
    <row r="86" spans="1:17" x14ac:dyDescent="0.3">
      <c r="A86" s="3"/>
      <c r="B86" s="309"/>
      <c r="C86" s="68" t="s">
        <v>331</v>
      </c>
      <c r="D86" s="135">
        <v>980</v>
      </c>
      <c r="E86" s="152">
        <v>207.5</v>
      </c>
      <c r="F86" s="90">
        <f>O86/F80</f>
        <v>14.399999999999999</v>
      </c>
      <c r="G86" s="90">
        <f>17.06/G80</f>
        <v>11.605442176870747</v>
      </c>
      <c r="O86" s="172">
        <v>11.52</v>
      </c>
    </row>
    <row r="87" spans="1:17" x14ac:dyDescent="0.3">
      <c r="A87" s="3"/>
      <c r="B87" s="309"/>
      <c r="C87" s="68" t="s">
        <v>332</v>
      </c>
      <c r="D87" s="135">
        <v>16.53</v>
      </c>
      <c r="E87" s="152">
        <v>24.01</v>
      </c>
      <c r="F87" s="90">
        <f>O87/F81</f>
        <v>9.8171428571428567</v>
      </c>
      <c r="G87" s="90">
        <f>47.71/G81</f>
        <v>10.843181818181817</v>
      </c>
      <c r="O87" s="172">
        <v>68.72</v>
      </c>
    </row>
    <row r="88" spans="1:17" x14ac:dyDescent="0.3">
      <c r="A88" s="3"/>
      <c r="B88" s="309"/>
      <c r="C88" s="68" t="s">
        <v>333</v>
      </c>
      <c r="D88" s="135">
        <v>18.850000000000001</v>
      </c>
      <c r="E88" s="152">
        <v>3.74</v>
      </c>
      <c r="F88" s="90">
        <f>O88/F82</f>
        <v>18.5546875</v>
      </c>
      <c r="G88" s="90">
        <f>23.9/G82</f>
        <v>11.658536585365853</v>
      </c>
      <c r="O88" s="172">
        <v>47.5</v>
      </c>
    </row>
    <row r="89" spans="1:17" ht="63" x14ac:dyDescent="0.3">
      <c r="A89" s="3"/>
      <c r="B89" s="298"/>
      <c r="C89" s="67" t="s">
        <v>295</v>
      </c>
      <c r="D89" s="140">
        <f>AVERAGE(D86:D88)</f>
        <v>338.46</v>
      </c>
      <c r="E89" s="164">
        <v>78.42</v>
      </c>
      <c r="F89" s="157">
        <f>AVERAGE(F86:F88)</f>
        <v>14.257276785714284</v>
      </c>
      <c r="G89" s="157">
        <f>AVERAGE(G86:G88)</f>
        <v>11.369053526806139</v>
      </c>
      <c r="O89" s="172" t="s">
        <v>655</v>
      </c>
      <c r="P89" s="1" t="s">
        <v>645</v>
      </c>
    </row>
    <row r="90" spans="1:17" x14ac:dyDescent="0.3">
      <c r="A90" s="3"/>
      <c r="B90" s="297" t="s">
        <v>60</v>
      </c>
      <c r="C90" s="67" t="s">
        <v>330</v>
      </c>
      <c r="D90" s="142">
        <v>0.1313</v>
      </c>
      <c r="E90" s="154">
        <v>7.1099999999999997E-2</v>
      </c>
      <c r="F90" s="110">
        <f>O90/P90</f>
        <v>0.10224430079684668</v>
      </c>
      <c r="G90" s="110">
        <v>0.15709999999999999</v>
      </c>
      <c r="O90" s="172">
        <v>780.26</v>
      </c>
      <c r="P90" s="1">
        <v>7631.33</v>
      </c>
      <c r="Q90" s="1">
        <v>763133000</v>
      </c>
    </row>
    <row r="91" spans="1:17" x14ac:dyDescent="0.3">
      <c r="A91" s="3"/>
      <c r="B91" s="309"/>
      <c r="C91" s="67" t="s">
        <v>237</v>
      </c>
      <c r="D91" s="125"/>
      <c r="E91" s="152"/>
      <c r="F91" s="110"/>
      <c r="G91" s="88"/>
    </row>
    <row r="92" spans="1:17" x14ac:dyDescent="0.3">
      <c r="A92" s="3"/>
      <c r="B92" s="309"/>
      <c r="C92" s="68" t="s">
        <v>331</v>
      </c>
      <c r="D92" s="142">
        <v>2.5999999999999999E-3</v>
      </c>
      <c r="E92" s="163">
        <v>4.1999999999999997E-3</v>
      </c>
      <c r="F92" s="110">
        <f>O92/P92</f>
        <v>5.6393367195587824E-2</v>
      </c>
      <c r="G92" s="110">
        <v>9.3399999999999997E-2</v>
      </c>
      <c r="O92" s="172">
        <v>372.6</v>
      </c>
      <c r="P92" s="1">
        <f>2320.19+4286.97</f>
        <v>6607.16</v>
      </c>
      <c r="Q92" s="1">
        <v>660716000</v>
      </c>
    </row>
    <row r="93" spans="1:17" x14ac:dyDescent="0.3">
      <c r="A93" s="3"/>
      <c r="B93" s="309"/>
      <c r="C93" s="68" t="s">
        <v>332</v>
      </c>
      <c r="D93" s="142">
        <v>0.17080000000000001</v>
      </c>
      <c r="E93" s="142">
        <v>6.3399999999999998E-2</v>
      </c>
      <c r="F93" s="110">
        <f>O93/P93</f>
        <v>0.10351081710721428</v>
      </c>
      <c r="G93" s="110">
        <v>6.1699999999999998E-2</v>
      </c>
      <c r="O93" s="173">
        <v>1129.45</v>
      </c>
      <c r="P93" s="1">
        <f>1612.7+9298.72</f>
        <v>10911.42</v>
      </c>
      <c r="Q93" s="1">
        <v>1091142000</v>
      </c>
    </row>
    <row r="94" spans="1:17" x14ac:dyDescent="0.3">
      <c r="A94" s="3"/>
      <c r="B94" s="309"/>
      <c r="C94" s="68" t="s">
        <v>333</v>
      </c>
      <c r="D94" s="142">
        <v>0.2697</v>
      </c>
      <c r="E94" s="154">
        <v>0.11700000000000001</v>
      </c>
      <c r="F94" s="110">
        <f>O94/P94</f>
        <v>0.19528391655314634</v>
      </c>
      <c r="G94" s="110">
        <v>0.13450000000000001</v>
      </c>
      <c r="O94" s="172">
        <v>2700.8</v>
      </c>
      <c r="P94" s="1">
        <v>13830.12</v>
      </c>
      <c r="Q94" s="1">
        <v>1383012000</v>
      </c>
    </row>
    <row r="95" spans="1:17" ht="42" x14ac:dyDescent="0.3">
      <c r="A95" s="3"/>
      <c r="B95" s="298"/>
      <c r="C95" s="67" t="s">
        <v>295</v>
      </c>
      <c r="D95" s="143">
        <f>AVERAGE(D92:D94)</f>
        <v>0.1477</v>
      </c>
      <c r="E95" s="165">
        <v>6.1499999999999999E-2</v>
      </c>
      <c r="F95" s="131">
        <f>AVERAGE(F92:F94)</f>
        <v>0.11839603361864948</v>
      </c>
      <c r="G95" s="131">
        <f>AVERAGE(G92:G94)</f>
        <v>9.6533333333333318E-2</v>
      </c>
      <c r="O95" s="172" t="s">
        <v>665</v>
      </c>
    </row>
    <row r="96" spans="1:17" x14ac:dyDescent="0.3">
      <c r="A96" s="3"/>
      <c r="B96" s="310" t="s">
        <v>61</v>
      </c>
      <c r="C96" s="67" t="s">
        <v>330</v>
      </c>
      <c r="D96" s="135">
        <v>31.07</v>
      </c>
      <c r="E96" s="152">
        <v>53.57</v>
      </c>
      <c r="F96" s="90">
        <f>Q90/O96</f>
        <v>70.597709443457674</v>
      </c>
      <c r="G96" s="88">
        <v>72.569999999999993</v>
      </c>
      <c r="O96" s="172">
        <v>10809600</v>
      </c>
    </row>
    <row r="97" spans="1:16" x14ac:dyDescent="0.3">
      <c r="A97" s="3"/>
      <c r="B97" s="310"/>
      <c r="C97" s="67" t="s">
        <v>237</v>
      </c>
      <c r="D97" s="135"/>
      <c r="E97" s="152"/>
      <c r="F97" s="90"/>
      <c r="G97" s="88"/>
      <c r="O97" s="172"/>
    </row>
    <row r="98" spans="1:16" x14ac:dyDescent="0.3">
      <c r="A98" s="3"/>
      <c r="B98" s="310"/>
      <c r="C98" s="68" t="s">
        <v>331</v>
      </c>
      <c r="D98" s="153">
        <v>13.41</v>
      </c>
      <c r="E98" s="152">
        <v>13.46</v>
      </c>
      <c r="F98" s="90">
        <f>Q92/O98</f>
        <v>14.23840779881227</v>
      </c>
      <c r="G98" s="88">
        <v>15.69</v>
      </c>
      <c r="O98" s="172">
        <v>46403784</v>
      </c>
    </row>
    <row r="99" spans="1:16" ht="63" x14ac:dyDescent="0.3">
      <c r="A99" s="3"/>
      <c r="B99" s="310"/>
      <c r="C99" s="68" t="s">
        <v>332</v>
      </c>
      <c r="D99" s="135">
        <v>57.68</v>
      </c>
      <c r="E99" s="152">
        <v>61.52</v>
      </c>
      <c r="F99" s="90">
        <f>Q93/P99</f>
        <v>67.659442351642809</v>
      </c>
      <c r="G99" s="88">
        <v>71.28</v>
      </c>
      <c r="O99" s="172" t="s">
        <v>669</v>
      </c>
      <c r="P99" s="172">
        <v>16126973</v>
      </c>
    </row>
    <row r="100" spans="1:16" x14ac:dyDescent="0.3">
      <c r="A100" s="3"/>
      <c r="B100" s="310"/>
      <c r="C100" s="68" t="s">
        <v>333</v>
      </c>
      <c r="D100" s="135">
        <v>92.34</v>
      </c>
      <c r="E100" s="152">
        <v>10.48</v>
      </c>
      <c r="F100" s="90">
        <f>Q94/P100</f>
        <v>13.081220146606762</v>
      </c>
      <c r="G100" s="88">
        <v>15.13</v>
      </c>
      <c r="O100" s="172">
        <v>105725000</v>
      </c>
      <c r="P100" s="172">
        <v>105725000</v>
      </c>
    </row>
    <row r="101" spans="1:16" x14ac:dyDescent="0.35">
      <c r="A101" s="3"/>
      <c r="B101" s="310"/>
      <c r="C101" s="67" t="s">
        <v>295</v>
      </c>
      <c r="D101" s="144">
        <f>AVERAGE(D98:D100)</f>
        <v>54.476666666666667</v>
      </c>
      <c r="E101" s="166">
        <v>28.48</v>
      </c>
      <c r="F101" s="157">
        <f>AVERAGE(F98:F100)</f>
        <v>31.659690099020619</v>
      </c>
      <c r="G101" s="157">
        <f>AVERAGE(G98:G100)</f>
        <v>34.033333333333331</v>
      </c>
      <c r="H101" s="172"/>
    </row>
    <row r="102" spans="1:16" x14ac:dyDescent="0.3">
      <c r="A102" s="3"/>
      <c r="B102" s="301"/>
      <c r="C102" s="302"/>
      <c r="D102" s="302"/>
      <c r="E102" s="302"/>
      <c r="F102" s="302"/>
      <c r="G102" s="303"/>
      <c r="H102" s="172"/>
    </row>
    <row r="103" spans="1:16" s="2" customFormat="1" x14ac:dyDescent="0.3">
      <c r="B103" s="253" t="s">
        <v>82</v>
      </c>
      <c r="C103" s="270"/>
      <c r="D103" s="270"/>
      <c r="E103" s="270"/>
      <c r="F103" s="270"/>
      <c r="G103" s="254"/>
      <c r="H103" s="180"/>
    </row>
    <row r="104" spans="1:16" x14ac:dyDescent="0.3">
      <c r="A104" s="3"/>
      <c r="B104" s="253" t="s">
        <v>579</v>
      </c>
      <c r="C104" s="270"/>
      <c r="D104" s="270"/>
      <c r="E104" s="270"/>
      <c r="F104" s="270"/>
      <c r="G104" s="254"/>
    </row>
    <row r="105" spans="1:16" ht="28.5" customHeight="1" x14ac:dyDescent="0.3">
      <c r="A105" s="3"/>
      <c r="B105" s="242" t="s">
        <v>761</v>
      </c>
      <c r="C105" s="242"/>
      <c r="D105" s="242"/>
      <c r="E105" s="242"/>
      <c r="F105" s="242"/>
      <c r="G105" s="242"/>
    </row>
    <row r="106" spans="1:16" x14ac:dyDescent="0.3">
      <c r="C106" s="402"/>
      <c r="D106" s="402"/>
      <c r="E106" s="402"/>
      <c r="F106" s="402"/>
      <c r="G106" s="402"/>
    </row>
    <row r="107" spans="1:16" x14ac:dyDescent="0.3">
      <c r="A107" s="3">
        <v>14</v>
      </c>
      <c r="B107" s="54" t="s">
        <v>63</v>
      </c>
      <c r="C107" s="307" t="s">
        <v>50</v>
      </c>
      <c r="D107" s="308"/>
      <c r="E107" s="308"/>
      <c r="F107" s="308"/>
      <c r="G107" s="249"/>
    </row>
    <row r="108" spans="1:16" x14ac:dyDescent="0.3">
      <c r="C108" s="55"/>
      <c r="D108" s="55"/>
      <c r="E108" s="55"/>
      <c r="F108" s="55"/>
      <c r="G108" s="55"/>
    </row>
    <row r="109" spans="1:16" x14ac:dyDescent="0.3">
      <c r="B109" s="299" t="s">
        <v>334</v>
      </c>
      <c r="C109" s="299"/>
      <c r="D109" s="299"/>
      <c r="E109" s="299"/>
      <c r="F109" s="299"/>
      <c r="G109" s="299"/>
      <c r="H109" s="299"/>
    </row>
    <row r="114" spans="4:5" x14ac:dyDescent="0.3">
      <c r="D114" s="56"/>
      <c r="E114" s="56"/>
    </row>
    <row r="115" spans="4:5" x14ac:dyDescent="0.3">
      <c r="E115" s="56"/>
    </row>
  </sheetData>
  <mergeCells count="60">
    <mergeCell ref="B90:B95"/>
    <mergeCell ref="B96:B101"/>
    <mergeCell ref="B109:H109"/>
    <mergeCell ref="B102:G102"/>
    <mergeCell ref="B103:G103"/>
    <mergeCell ref="B104:G104"/>
    <mergeCell ref="C106:G106"/>
    <mergeCell ref="C107:G107"/>
    <mergeCell ref="B105:G105"/>
    <mergeCell ref="B73:F73"/>
    <mergeCell ref="B75:G75"/>
    <mergeCell ref="B78:B83"/>
    <mergeCell ref="B84:B89"/>
    <mergeCell ref="B74:C74"/>
    <mergeCell ref="L66:N66"/>
    <mergeCell ref="B70:N70"/>
    <mergeCell ref="I66:K66"/>
    <mergeCell ref="B72:F72"/>
    <mergeCell ref="B71:F71"/>
    <mergeCell ref="B66:B67"/>
    <mergeCell ref="C66:C67"/>
    <mergeCell ref="D66:D67"/>
    <mergeCell ref="E66:E67"/>
    <mergeCell ref="F66:H66"/>
    <mergeCell ref="C62:E62"/>
    <mergeCell ref="C44:E44"/>
    <mergeCell ref="B45:E45"/>
    <mergeCell ref="B47:E47"/>
    <mergeCell ref="B50:E50"/>
    <mergeCell ref="B53:E53"/>
    <mergeCell ref="B54:B55"/>
    <mergeCell ref="C54:E55"/>
    <mergeCell ref="C56:E56"/>
    <mergeCell ref="B58:E58"/>
    <mergeCell ref="C60:E60"/>
    <mergeCell ref="C61:E61"/>
    <mergeCell ref="C43:E43"/>
    <mergeCell ref="C22:E22"/>
    <mergeCell ref="C23:E23"/>
    <mergeCell ref="C24:E24"/>
    <mergeCell ref="B26:E26"/>
    <mergeCell ref="B27:E27"/>
    <mergeCell ref="B33:E33"/>
    <mergeCell ref="B35:E35"/>
    <mergeCell ref="B39:D39"/>
    <mergeCell ref="B41:E41"/>
    <mergeCell ref="C42:E42"/>
    <mergeCell ref="B25:E25"/>
    <mergeCell ref="C21:E21"/>
    <mergeCell ref="A1:B1"/>
    <mergeCell ref="C5:E5"/>
    <mergeCell ref="B6:D6"/>
    <mergeCell ref="B9:D9"/>
    <mergeCell ref="C11:E11"/>
    <mergeCell ref="B12:D12"/>
    <mergeCell ref="C14:E14"/>
    <mergeCell ref="B15:D15"/>
    <mergeCell ref="B17:C17"/>
    <mergeCell ref="B19:E19"/>
    <mergeCell ref="C20:E20"/>
  </mergeCells>
  <pageMargins left="0.70866141732283472" right="0.70866141732283472" top="0.74803149606299213" bottom="0.74803149606299213" header="0.31496062992125984" footer="0.31496062992125984"/>
  <pageSetup paperSize="9" scale="28" fitToWidth="70" fitToHeight="2" orientation="landscape" horizontalDpi="4294967292"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94AEA-E527-47AA-86A3-9B73FC9BC682}">
  <sheetPr>
    <pageSetUpPr fitToPage="1"/>
  </sheetPr>
  <dimension ref="A1:N119"/>
  <sheetViews>
    <sheetView topLeftCell="A6" zoomScale="49" zoomScaleNormal="51" workbookViewId="0">
      <selection activeCell="B9" sqref="B9:D9"/>
    </sheetView>
  </sheetViews>
  <sheetFormatPr defaultColWidth="8.6640625" defaultRowHeight="21" x14ac:dyDescent="0.3"/>
  <cols>
    <col min="1" max="1" width="8.6640625" style="1"/>
    <col min="2" max="2" width="58.33203125" style="1" customWidth="1"/>
    <col min="3" max="3" width="81" style="1" customWidth="1"/>
    <col min="4" max="4" width="73.109375" style="1" customWidth="1"/>
    <col min="5" max="5" width="27.6640625" style="1" customWidth="1"/>
    <col min="6" max="6" width="13.5546875" style="1" customWidth="1"/>
    <col min="7" max="7" width="13.77734375" style="1" customWidth="1"/>
    <col min="8" max="8" width="22.6640625" style="1" customWidth="1"/>
    <col min="9" max="9" width="11.33203125" style="1" customWidth="1"/>
    <col min="10" max="10" width="12.33203125" style="1" customWidth="1"/>
    <col min="11" max="11" width="11.44140625" style="1" customWidth="1"/>
    <col min="12" max="14" width="12.88671875" style="1" bestFit="1" customWidth="1"/>
    <col min="15" max="16384" width="8.6640625" style="1"/>
  </cols>
  <sheetData>
    <row r="1" spans="1:5" ht="20.25" customHeight="1" x14ac:dyDescent="0.3">
      <c r="A1" s="246" t="s">
        <v>0</v>
      </c>
      <c r="B1" s="246"/>
      <c r="D1" s="2"/>
    </row>
    <row r="3" spans="1:5" ht="40.799999999999997" x14ac:dyDescent="0.3">
      <c r="A3" s="3" t="s">
        <v>1</v>
      </c>
      <c r="B3" s="54" t="s">
        <v>2</v>
      </c>
      <c r="C3" s="5" t="s">
        <v>335</v>
      </c>
    </row>
    <row r="4" spans="1:5" x14ac:dyDescent="0.3">
      <c r="D4" s="22"/>
    </row>
    <row r="5" spans="1:5" x14ac:dyDescent="0.3">
      <c r="A5" s="62">
        <v>1</v>
      </c>
      <c r="B5" s="63" t="s">
        <v>3</v>
      </c>
      <c r="C5" s="247" t="s">
        <v>339</v>
      </c>
      <c r="D5" s="248"/>
      <c r="E5" s="249"/>
    </row>
    <row r="6" spans="1:5" x14ac:dyDescent="0.3">
      <c r="A6" s="3"/>
      <c r="B6" s="250" t="s">
        <v>4</v>
      </c>
      <c r="C6" s="251"/>
      <c r="D6" s="252"/>
      <c r="E6" s="10"/>
    </row>
    <row r="7" spans="1:5" x14ac:dyDescent="0.3">
      <c r="A7" s="3"/>
      <c r="B7" s="2"/>
      <c r="D7" s="22"/>
    </row>
    <row r="8" spans="1:5" x14ac:dyDescent="0.3">
      <c r="A8" s="3">
        <v>2</v>
      </c>
      <c r="B8" s="63" t="s">
        <v>5</v>
      </c>
      <c r="C8" s="12" t="s">
        <v>336</v>
      </c>
      <c r="D8" s="22"/>
    </row>
    <row r="9" spans="1:5" x14ac:dyDescent="0.3">
      <c r="A9" s="3"/>
      <c r="B9" s="250" t="s">
        <v>4</v>
      </c>
      <c r="C9" s="251"/>
      <c r="D9" s="252"/>
    </row>
    <row r="10" spans="1:5" x14ac:dyDescent="0.3">
      <c r="A10" s="3"/>
      <c r="B10" s="2"/>
      <c r="D10" s="22"/>
    </row>
    <row r="11" spans="1:5" ht="40.950000000000003" customHeight="1" x14ac:dyDescent="0.3">
      <c r="A11" s="3">
        <v>3</v>
      </c>
      <c r="B11" s="63" t="s">
        <v>6</v>
      </c>
      <c r="C11" s="247" t="s">
        <v>90</v>
      </c>
      <c r="D11" s="248"/>
      <c r="E11" s="249"/>
    </row>
    <row r="12" spans="1:5" x14ac:dyDescent="0.3">
      <c r="A12" s="3"/>
      <c r="B12" s="250" t="s">
        <v>4</v>
      </c>
      <c r="C12" s="251"/>
      <c r="D12" s="252"/>
      <c r="E12" s="10"/>
    </row>
    <row r="13" spans="1:5" x14ac:dyDescent="0.3">
      <c r="A13" s="3"/>
      <c r="B13" s="2"/>
      <c r="D13" s="22"/>
    </row>
    <row r="14" spans="1:5" x14ac:dyDescent="0.3">
      <c r="A14" s="3">
        <v>4</v>
      </c>
      <c r="B14" s="54" t="s">
        <v>92</v>
      </c>
      <c r="C14" s="247" t="s">
        <v>90</v>
      </c>
      <c r="D14" s="248"/>
      <c r="E14" s="249"/>
    </row>
    <row r="15" spans="1:5" x14ac:dyDescent="0.3">
      <c r="A15" s="3"/>
      <c r="B15" s="250" t="s">
        <v>4</v>
      </c>
      <c r="C15" s="251"/>
      <c r="D15" s="252"/>
    </row>
    <row r="16" spans="1:5" x14ac:dyDescent="0.3">
      <c r="A16" s="3">
        <v>4</v>
      </c>
      <c r="B16" s="54" t="s">
        <v>7</v>
      </c>
      <c r="C16" s="5" t="s">
        <v>337</v>
      </c>
      <c r="D16" s="22"/>
    </row>
    <row r="17" spans="1:14" x14ac:dyDescent="0.3">
      <c r="A17" s="3"/>
      <c r="B17" s="253" t="s">
        <v>8</v>
      </c>
      <c r="C17" s="254"/>
      <c r="D17" s="22"/>
    </row>
    <row r="18" spans="1:14" x14ac:dyDescent="0.3">
      <c r="A18" s="3"/>
      <c r="D18" s="22"/>
    </row>
    <row r="19" spans="1:14" x14ac:dyDescent="0.3">
      <c r="A19" s="3">
        <v>5</v>
      </c>
      <c r="B19" s="255" t="s">
        <v>9</v>
      </c>
      <c r="C19" s="256"/>
      <c r="D19" s="256"/>
      <c r="E19" s="257"/>
      <c r="F19" s="2"/>
      <c r="G19" s="2"/>
      <c r="H19" s="2"/>
      <c r="I19" s="2"/>
      <c r="J19" s="10"/>
      <c r="K19" s="10"/>
      <c r="L19" s="10"/>
      <c r="M19" s="10"/>
      <c r="N19" s="10"/>
    </row>
    <row r="20" spans="1:14" x14ac:dyDescent="0.3">
      <c r="A20" s="3"/>
      <c r="B20" s="65" t="s">
        <v>10</v>
      </c>
      <c r="C20" s="243" t="s">
        <v>11</v>
      </c>
      <c r="D20" s="244"/>
      <c r="E20" s="245"/>
      <c r="F20" s="66"/>
      <c r="G20" s="10"/>
      <c r="H20" s="10"/>
      <c r="I20" s="10"/>
      <c r="J20" s="10"/>
      <c r="K20" s="10"/>
      <c r="L20" s="10"/>
      <c r="M20" s="10"/>
      <c r="N20" s="10"/>
    </row>
    <row r="21" spans="1:14" ht="61.2" x14ac:dyDescent="0.3">
      <c r="A21" s="3"/>
      <c r="B21" s="65" t="s">
        <v>300</v>
      </c>
      <c r="C21" s="243" t="s">
        <v>493</v>
      </c>
      <c r="D21" s="244"/>
      <c r="E21" s="245"/>
      <c r="F21" s="66"/>
      <c r="G21" s="10"/>
      <c r="I21" s="10"/>
      <c r="J21" s="10"/>
      <c r="K21" s="10"/>
      <c r="L21" s="10"/>
      <c r="M21" s="10"/>
      <c r="N21" s="10"/>
    </row>
    <row r="22" spans="1:14" x14ac:dyDescent="0.3">
      <c r="A22" s="3"/>
      <c r="B22" s="65" t="s">
        <v>243</v>
      </c>
      <c r="C22" s="438" t="s">
        <v>11</v>
      </c>
      <c r="D22" s="439"/>
      <c r="E22" s="440"/>
      <c r="F22" s="66"/>
      <c r="G22" s="10"/>
      <c r="H22" s="10"/>
      <c r="I22" s="10"/>
      <c r="J22" s="10"/>
      <c r="K22" s="10"/>
      <c r="L22" s="10"/>
      <c r="M22" s="10"/>
      <c r="N22" s="10"/>
    </row>
    <row r="23" spans="1:14" x14ac:dyDescent="0.3">
      <c r="A23" s="3"/>
      <c r="B23" s="64" t="s">
        <v>252</v>
      </c>
      <c r="C23" s="442" t="s">
        <v>11</v>
      </c>
      <c r="D23" s="370"/>
      <c r="E23" s="371"/>
      <c r="F23" s="66"/>
      <c r="G23" s="10"/>
      <c r="H23" s="10"/>
      <c r="I23" s="10"/>
      <c r="J23" s="10"/>
      <c r="K23" s="10"/>
      <c r="L23" s="10"/>
      <c r="M23" s="10"/>
      <c r="N23" s="10"/>
    </row>
    <row r="24" spans="1:14" x14ac:dyDescent="0.3">
      <c r="A24" s="3"/>
      <c r="B24" s="67" t="s">
        <v>253</v>
      </c>
      <c r="C24" s="401" t="s">
        <v>11</v>
      </c>
      <c r="D24" s="401"/>
      <c r="E24" s="401"/>
      <c r="F24" s="66"/>
      <c r="G24" s="10"/>
      <c r="H24" s="10"/>
      <c r="I24" s="10"/>
      <c r="J24" s="10"/>
      <c r="K24" s="10"/>
      <c r="L24" s="10"/>
      <c r="M24" s="10"/>
      <c r="N24" s="10"/>
    </row>
    <row r="25" spans="1:14" x14ac:dyDescent="0.3">
      <c r="A25" s="3"/>
      <c r="B25" s="66" t="s">
        <v>347</v>
      </c>
      <c r="C25" s="66"/>
      <c r="D25" s="66"/>
      <c r="E25" s="66"/>
      <c r="F25" s="66"/>
      <c r="G25" s="10"/>
      <c r="H25" s="10"/>
      <c r="I25" s="10"/>
      <c r="J25" s="10"/>
      <c r="K25" s="10"/>
      <c r="L25" s="10"/>
      <c r="M25" s="10"/>
      <c r="N25" s="10"/>
    </row>
    <row r="26" spans="1:14" x14ac:dyDescent="0.3">
      <c r="A26" s="3">
        <v>6</v>
      </c>
      <c r="B26" s="261" t="s">
        <v>74</v>
      </c>
      <c r="C26" s="262"/>
      <c r="D26" s="262"/>
      <c r="E26" s="263"/>
      <c r="F26" s="2"/>
      <c r="G26" s="2"/>
      <c r="H26" s="10"/>
      <c r="I26" s="2"/>
      <c r="J26" s="2"/>
    </row>
    <row r="27" spans="1:14" x14ac:dyDescent="0.3">
      <c r="A27" s="3"/>
      <c r="B27" s="264" t="s">
        <v>17</v>
      </c>
      <c r="C27" s="265"/>
      <c r="D27" s="265"/>
      <c r="E27" s="266"/>
      <c r="F27" s="66"/>
    </row>
    <row r="28" spans="1:14" x14ac:dyDescent="0.3">
      <c r="A28" s="3"/>
      <c r="B28" s="67" t="s">
        <v>18</v>
      </c>
      <c r="C28" s="25" t="s">
        <v>244</v>
      </c>
      <c r="D28" s="25" t="s">
        <v>245</v>
      </c>
      <c r="E28" s="25" t="s">
        <v>246</v>
      </c>
      <c r="F28" s="66"/>
    </row>
    <row r="29" spans="1:14" ht="20.7" customHeight="1" x14ac:dyDescent="0.3">
      <c r="A29" s="3"/>
      <c r="B29" s="68" t="s">
        <v>21</v>
      </c>
      <c r="C29" s="27">
        <v>687.85</v>
      </c>
      <c r="D29" s="27">
        <v>899.86</v>
      </c>
      <c r="E29" s="27">
        <v>942.76</v>
      </c>
      <c r="F29" s="66"/>
    </row>
    <row r="30" spans="1:14" x14ac:dyDescent="0.3">
      <c r="A30" s="3"/>
      <c r="B30" s="68" t="s">
        <v>23</v>
      </c>
      <c r="C30" s="27">
        <v>60.72</v>
      </c>
      <c r="D30" s="27">
        <v>-32.72</v>
      </c>
      <c r="E30" s="27">
        <v>-62.27</v>
      </c>
      <c r="F30" s="66"/>
    </row>
    <row r="31" spans="1:14" x14ac:dyDescent="0.3">
      <c r="A31" s="3"/>
      <c r="B31" s="68" t="s">
        <v>24</v>
      </c>
      <c r="C31" s="27">
        <v>680.85</v>
      </c>
      <c r="D31" s="27">
        <v>680.85</v>
      </c>
      <c r="E31" s="27">
        <v>680.85</v>
      </c>
      <c r="F31" s="66"/>
      <c r="H31" s="194"/>
    </row>
    <row r="32" spans="1:14" x14ac:dyDescent="0.3">
      <c r="A32" s="3"/>
      <c r="B32" s="68" t="s">
        <v>25</v>
      </c>
      <c r="C32" s="27">
        <v>728.42</v>
      </c>
      <c r="D32" s="27">
        <v>660.74</v>
      </c>
      <c r="E32" s="27">
        <v>598.47</v>
      </c>
      <c r="F32" s="66"/>
    </row>
    <row r="33" spans="1:10" x14ac:dyDescent="0.3">
      <c r="A33" s="3"/>
      <c r="B33" s="253" t="s">
        <v>193</v>
      </c>
      <c r="C33" s="270"/>
      <c r="D33" s="270"/>
      <c r="E33" s="254"/>
      <c r="F33" s="66"/>
    </row>
    <row r="34" spans="1:10" x14ac:dyDescent="0.3">
      <c r="A34" s="3"/>
      <c r="B34" s="10"/>
      <c r="C34" s="66"/>
      <c r="D34" s="66"/>
      <c r="E34" s="66"/>
      <c r="F34" s="66"/>
    </row>
    <row r="35" spans="1:10" ht="41.7" customHeight="1" x14ac:dyDescent="0.3">
      <c r="A35" s="3">
        <v>7</v>
      </c>
      <c r="B35" s="261" t="s">
        <v>26</v>
      </c>
      <c r="C35" s="262"/>
      <c r="D35" s="262"/>
      <c r="E35" s="263"/>
      <c r="F35" s="2"/>
      <c r="G35" s="2"/>
      <c r="H35" s="2"/>
      <c r="I35" s="2"/>
      <c r="J35" s="2"/>
    </row>
    <row r="36" spans="1:10" x14ac:dyDescent="0.3">
      <c r="A36" s="3"/>
      <c r="B36" s="67" t="s">
        <v>247</v>
      </c>
      <c r="C36" s="27" t="s">
        <v>93</v>
      </c>
      <c r="D36" s="5"/>
      <c r="E36" s="5"/>
      <c r="F36" s="10"/>
    </row>
    <row r="37" spans="1:10" x14ac:dyDescent="0.3">
      <c r="A37" s="3"/>
      <c r="B37" s="67" t="s">
        <v>28</v>
      </c>
      <c r="C37" s="27" t="s">
        <v>93</v>
      </c>
      <c r="D37" s="10"/>
      <c r="E37" s="10"/>
      <c r="F37" s="10"/>
    </row>
    <row r="38" spans="1:10" x14ac:dyDescent="0.3">
      <c r="A38" s="3"/>
      <c r="B38" s="67" t="s">
        <v>29</v>
      </c>
      <c r="C38" s="27" t="s">
        <v>93</v>
      </c>
      <c r="D38" s="10"/>
      <c r="E38" s="10"/>
      <c r="F38" s="10"/>
    </row>
    <row r="39" spans="1:10" ht="42" customHeight="1" x14ac:dyDescent="0.3">
      <c r="A39" s="3"/>
      <c r="B39" s="271" t="s">
        <v>338</v>
      </c>
      <c r="C39" s="271"/>
      <c r="D39" s="271"/>
      <c r="E39" s="10"/>
      <c r="F39" s="10"/>
    </row>
    <row r="40" spans="1:10" x14ac:dyDescent="0.3">
      <c r="A40" s="3"/>
      <c r="B40" s="66"/>
      <c r="C40" s="10"/>
      <c r="D40" s="10"/>
      <c r="E40" s="10"/>
      <c r="F40" s="10"/>
    </row>
    <row r="41" spans="1:10" x14ac:dyDescent="0.3">
      <c r="A41" s="3">
        <v>8</v>
      </c>
      <c r="B41" s="261" t="s">
        <v>30</v>
      </c>
      <c r="C41" s="262"/>
      <c r="D41" s="262"/>
      <c r="E41" s="263"/>
      <c r="F41" s="2"/>
      <c r="G41" s="2"/>
      <c r="H41" s="2"/>
      <c r="I41" s="2"/>
      <c r="J41" s="2"/>
    </row>
    <row r="42" spans="1:10" x14ac:dyDescent="0.3">
      <c r="A42" s="3"/>
      <c r="B42" s="67" t="s">
        <v>31</v>
      </c>
      <c r="C42" s="258" t="s">
        <v>76</v>
      </c>
      <c r="D42" s="259"/>
      <c r="E42" s="260"/>
      <c r="F42" s="10"/>
    </row>
    <row r="43" spans="1:10" x14ac:dyDescent="0.3">
      <c r="A43" s="3"/>
      <c r="B43" s="67" t="s">
        <v>28</v>
      </c>
      <c r="C43" s="258" t="s">
        <v>909</v>
      </c>
      <c r="D43" s="259"/>
      <c r="E43" s="260"/>
      <c r="F43" s="10"/>
    </row>
    <row r="44" spans="1:10" x14ac:dyDescent="0.3">
      <c r="A44" s="3"/>
      <c r="B44" s="67" t="s">
        <v>29</v>
      </c>
      <c r="C44" s="258" t="s">
        <v>910</v>
      </c>
      <c r="D44" s="259"/>
      <c r="E44" s="260"/>
      <c r="F44" s="10"/>
    </row>
    <row r="45" spans="1:10" x14ac:dyDescent="0.3">
      <c r="A45" s="3"/>
      <c r="B45" s="253" t="s">
        <v>192</v>
      </c>
      <c r="C45" s="270"/>
      <c r="D45" s="270"/>
      <c r="E45" s="254"/>
      <c r="F45" s="10"/>
    </row>
    <row r="46" spans="1:10" x14ac:dyDescent="0.3">
      <c r="A46" s="3"/>
      <c r="D46" s="22"/>
      <c r="E46" s="10"/>
    </row>
    <row r="47" spans="1:10" ht="83.4" customHeight="1" x14ac:dyDescent="0.3">
      <c r="A47" s="191">
        <v>9</v>
      </c>
      <c r="B47" s="262" t="s">
        <v>32</v>
      </c>
      <c r="C47" s="262"/>
      <c r="D47" s="262"/>
      <c r="E47" s="263"/>
      <c r="F47" s="2"/>
      <c r="G47" s="2"/>
      <c r="H47" s="2"/>
      <c r="I47" s="2"/>
    </row>
    <row r="48" spans="1:10" ht="81.599999999999994" x14ac:dyDescent="0.3">
      <c r="A48" s="191"/>
      <c r="B48" s="24" t="s">
        <v>33</v>
      </c>
      <c r="C48" s="25" t="s">
        <v>34</v>
      </c>
      <c r="D48" s="25" t="s">
        <v>524</v>
      </c>
      <c r="E48" s="25" t="s">
        <v>35</v>
      </c>
    </row>
    <row r="49" spans="1:14" ht="63" x14ac:dyDescent="0.3">
      <c r="A49" s="191"/>
      <c r="B49" s="189" t="s">
        <v>340</v>
      </c>
      <c r="C49" s="27" t="s">
        <v>341</v>
      </c>
      <c r="D49" s="27" t="s">
        <v>341</v>
      </c>
      <c r="E49" s="27" t="s">
        <v>121</v>
      </c>
    </row>
    <row r="50" spans="1:14" x14ac:dyDescent="0.3">
      <c r="A50" s="191"/>
      <c r="B50" s="242"/>
      <c r="C50" s="242"/>
      <c r="D50" s="242"/>
      <c r="E50" s="305"/>
    </row>
    <row r="51" spans="1:14" x14ac:dyDescent="0.3">
      <c r="A51" s="191"/>
      <c r="B51" s="160" t="s">
        <v>945</v>
      </c>
      <c r="C51" s="146"/>
      <c r="D51" s="146"/>
      <c r="E51" s="146"/>
    </row>
    <row r="52" spans="1:14" x14ac:dyDescent="0.3">
      <c r="A52" s="191"/>
      <c r="B52" s="28"/>
      <c r="C52" s="22"/>
      <c r="D52" s="22"/>
      <c r="E52" s="22"/>
      <c r="F52" s="66"/>
      <c r="G52" s="66"/>
      <c r="H52" s="66"/>
      <c r="I52" s="66"/>
    </row>
    <row r="53" spans="1:14" ht="43.2" customHeight="1" x14ac:dyDescent="0.3">
      <c r="A53" s="191">
        <v>10</v>
      </c>
      <c r="B53" s="262" t="s">
        <v>32</v>
      </c>
      <c r="C53" s="262"/>
      <c r="D53" s="262"/>
      <c r="E53" s="263"/>
      <c r="F53" s="66"/>
      <c r="G53" s="66"/>
      <c r="H53" s="66"/>
    </row>
    <row r="54" spans="1:14" x14ac:dyDescent="0.3">
      <c r="A54" s="191"/>
      <c r="B54" s="275" t="s">
        <v>36</v>
      </c>
      <c r="C54" s="277" t="s">
        <v>341</v>
      </c>
      <c r="D54" s="278"/>
      <c r="E54" s="279"/>
      <c r="K54" s="2"/>
    </row>
    <row r="55" spans="1:14" ht="100.2" customHeight="1" x14ac:dyDescent="0.3">
      <c r="A55" s="191"/>
      <c r="B55" s="276"/>
      <c r="C55" s="280"/>
      <c r="D55" s="281"/>
      <c r="E55" s="282"/>
      <c r="K55" s="2"/>
    </row>
    <row r="56" spans="1:14" ht="123.6" customHeight="1" x14ac:dyDescent="0.3">
      <c r="A56" s="191"/>
      <c r="B56" s="29" t="s">
        <v>37</v>
      </c>
      <c r="C56" s="283" t="s">
        <v>946</v>
      </c>
      <c r="D56" s="284"/>
      <c r="E56" s="285"/>
    </row>
    <row r="57" spans="1:14" ht="58.8" customHeight="1" x14ac:dyDescent="0.3">
      <c r="A57" s="191"/>
      <c r="B57" s="29" t="s">
        <v>38</v>
      </c>
      <c r="C57" s="286" t="s">
        <v>121</v>
      </c>
      <c r="D57" s="287"/>
      <c r="E57" s="288"/>
      <c r="K57" s="30"/>
    </row>
    <row r="58" spans="1:14" s="32" customFormat="1" x14ac:dyDescent="0.4">
      <c r="A58" s="111" t="s">
        <v>39</v>
      </c>
      <c r="B58" s="290" t="s">
        <v>947</v>
      </c>
      <c r="C58" s="290"/>
      <c r="D58" s="290"/>
      <c r="E58" s="291"/>
    </row>
    <row r="59" spans="1:14" ht="57" customHeight="1" x14ac:dyDescent="0.3">
      <c r="A59" s="191"/>
      <c r="B59" s="73" t="s">
        <v>809</v>
      </c>
      <c r="C59" s="73"/>
      <c r="D59" s="73"/>
      <c r="E59" s="73"/>
      <c r="F59" s="73"/>
    </row>
    <row r="60" spans="1:14" x14ac:dyDescent="0.3">
      <c r="A60" s="3">
        <v>11</v>
      </c>
      <c r="B60" s="54" t="s">
        <v>41</v>
      </c>
      <c r="C60" s="308" t="s">
        <v>121</v>
      </c>
      <c r="D60" s="308"/>
      <c r="E60" s="308"/>
      <c r="F60" s="2"/>
      <c r="G60" s="2"/>
      <c r="H60" s="74"/>
      <c r="I60" s="2"/>
      <c r="J60" s="2"/>
    </row>
    <row r="61" spans="1:14" ht="20.7" customHeight="1" x14ac:dyDescent="0.3">
      <c r="A61" s="3"/>
      <c r="B61" s="66"/>
      <c r="C61" s="270"/>
      <c r="D61" s="270"/>
      <c r="E61" s="270"/>
      <c r="F61" s="66"/>
      <c r="G61" s="66"/>
      <c r="H61" s="75"/>
      <c r="I61" s="75"/>
      <c r="J61" s="66"/>
    </row>
    <row r="62" spans="1:14" s="42" customFormat="1" x14ac:dyDescent="0.3">
      <c r="A62" s="76">
        <v>12</v>
      </c>
      <c r="B62" s="77" t="s">
        <v>42</v>
      </c>
      <c r="C62" s="272"/>
      <c r="D62" s="273"/>
      <c r="E62" s="274"/>
      <c r="F62" s="78"/>
      <c r="G62" s="79"/>
      <c r="H62" s="79"/>
      <c r="I62" s="79"/>
      <c r="J62" s="79"/>
      <c r="K62" s="79"/>
      <c r="L62" s="79"/>
      <c r="M62" s="79"/>
      <c r="N62" s="79"/>
    </row>
    <row r="63" spans="1:14" x14ac:dyDescent="0.3">
      <c r="A63" s="3"/>
      <c r="B63" s="2"/>
      <c r="C63" s="2"/>
      <c r="D63" s="2"/>
      <c r="E63" s="74"/>
      <c r="F63" s="74"/>
      <c r="G63" s="74"/>
      <c r="H63" s="2"/>
      <c r="I63" s="2"/>
      <c r="J63" s="2"/>
      <c r="K63" s="2"/>
      <c r="L63" s="2"/>
      <c r="M63" s="2"/>
      <c r="N63" s="2"/>
    </row>
    <row r="64" spans="1:14" x14ac:dyDescent="0.3">
      <c r="A64" s="3"/>
      <c r="B64" s="67" t="s">
        <v>43</v>
      </c>
      <c r="C64" s="68" t="s">
        <v>342</v>
      </c>
      <c r="D64" s="66"/>
      <c r="E64" s="66"/>
      <c r="F64" s="75"/>
      <c r="G64" s="75"/>
      <c r="H64" s="66"/>
      <c r="I64" s="66"/>
      <c r="J64" s="66"/>
      <c r="K64" s="66"/>
      <c r="L64" s="66"/>
      <c r="M64" s="66"/>
      <c r="N64" s="66"/>
    </row>
    <row r="65" spans="1:14" x14ac:dyDescent="0.3">
      <c r="A65" s="3"/>
      <c r="B65" s="66"/>
      <c r="C65" s="66"/>
      <c r="D65" s="66"/>
      <c r="E65" s="66"/>
      <c r="F65" s="66"/>
      <c r="G65" s="66"/>
      <c r="H65" s="66"/>
      <c r="I65" s="66"/>
      <c r="J65" s="66"/>
      <c r="K65" s="66"/>
      <c r="L65" s="66"/>
      <c r="M65" s="66"/>
      <c r="N65" s="66"/>
    </row>
    <row r="66" spans="1:14" ht="87.6" customHeight="1" x14ac:dyDescent="0.3">
      <c r="A66" s="3"/>
      <c r="B66" s="295" t="s">
        <v>44</v>
      </c>
      <c r="C66" s="295" t="s">
        <v>343</v>
      </c>
      <c r="D66" s="295" t="s">
        <v>68</v>
      </c>
      <c r="E66" s="297" t="s">
        <v>45</v>
      </c>
      <c r="F66" s="292" t="s">
        <v>254</v>
      </c>
      <c r="G66" s="293"/>
      <c r="H66" s="294"/>
      <c r="I66" s="292" t="s">
        <v>255</v>
      </c>
      <c r="J66" s="293"/>
      <c r="K66" s="294"/>
      <c r="L66" s="292" t="s">
        <v>197</v>
      </c>
      <c r="M66" s="293"/>
      <c r="N66" s="294"/>
    </row>
    <row r="67" spans="1:14" ht="61.2" x14ac:dyDescent="0.3">
      <c r="A67" s="3"/>
      <c r="B67" s="296"/>
      <c r="C67" s="296"/>
      <c r="D67" s="296"/>
      <c r="E67" s="298"/>
      <c r="F67" s="67" t="s">
        <v>46</v>
      </c>
      <c r="G67" s="67" t="s">
        <v>47</v>
      </c>
      <c r="H67" s="67" t="s">
        <v>48</v>
      </c>
      <c r="I67" s="67" t="s">
        <v>49</v>
      </c>
      <c r="J67" s="67" t="s">
        <v>47</v>
      </c>
      <c r="K67" s="67" t="s">
        <v>48</v>
      </c>
      <c r="L67" s="67" t="s">
        <v>49</v>
      </c>
      <c r="M67" s="67" t="s">
        <v>47</v>
      </c>
      <c r="N67" s="67" t="s">
        <v>48</v>
      </c>
    </row>
    <row r="68" spans="1:14" ht="105" customHeight="1" x14ac:dyDescent="0.3">
      <c r="A68" s="3"/>
      <c r="B68" s="67" t="s">
        <v>112</v>
      </c>
      <c r="C68" s="81">
        <v>58.9</v>
      </c>
      <c r="D68" s="82">
        <v>82.8</v>
      </c>
      <c r="E68" s="82">
        <v>71.95</v>
      </c>
      <c r="F68" s="121">
        <v>49.15</v>
      </c>
      <c r="G68" s="121">
        <v>89.8</v>
      </c>
      <c r="H68" s="121">
        <v>47.1</v>
      </c>
      <c r="I68" s="121">
        <v>46.5</v>
      </c>
      <c r="J68" s="121">
        <v>59.95</v>
      </c>
      <c r="K68" s="121">
        <v>34</v>
      </c>
      <c r="L68" s="121">
        <v>36.85</v>
      </c>
      <c r="M68" s="121">
        <v>51</v>
      </c>
      <c r="N68" s="121">
        <v>29</v>
      </c>
    </row>
    <row r="69" spans="1:14" ht="40.799999999999997" x14ac:dyDescent="0.3">
      <c r="A69" s="3"/>
      <c r="B69" s="69" t="s">
        <v>113</v>
      </c>
      <c r="C69" s="82">
        <v>64958.69</v>
      </c>
      <c r="D69" s="82">
        <v>69296.14</v>
      </c>
      <c r="E69" s="82">
        <v>71731.42</v>
      </c>
      <c r="F69" s="121">
        <v>73651.350000000006</v>
      </c>
      <c r="G69" s="121">
        <v>74245.17</v>
      </c>
      <c r="H69" s="121">
        <v>58793.08</v>
      </c>
      <c r="I69" s="51">
        <v>77414.92</v>
      </c>
      <c r="J69" s="51">
        <v>85978.25</v>
      </c>
      <c r="K69" s="51">
        <v>70234.429999999993</v>
      </c>
      <c r="L69" s="121">
        <v>71947.55</v>
      </c>
      <c r="M69" s="121">
        <v>86159.02</v>
      </c>
      <c r="N69" s="121">
        <v>71425.009999999995</v>
      </c>
    </row>
    <row r="70" spans="1:14" x14ac:dyDescent="0.3">
      <c r="A70" s="3"/>
      <c r="B70" s="253" t="s">
        <v>344</v>
      </c>
      <c r="C70" s="270"/>
      <c r="D70" s="270"/>
      <c r="E70" s="270"/>
      <c r="F70" s="270"/>
      <c r="G70" s="270"/>
      <c r="H70" s="270"/>
      <c r="I70" s="270"/>
      <c r="J70" s="270"/>
      <c r="K70" s="270"/>
      <c r="L70" s="270"/>
      <c r="M70" s="270"/>
      <c r="N70" s="254"/>
    </row>
    <row r="71" spans="1:14" x14ac:dyDescent="0.3">
      <c r="A71" s="3"/>
      <c r="B71" s="253" t="s">
        <v>345</v>
      </c>
      <c r="C71" s="270"/>
      <c r="D71" s="270"/>
      <c r="E71" s="270"/>
      <c r="F71" s="254"/>
      <c r="G71" s="83"/>
      <c r="H71" s="83"/>
      <c r="I71" s="83"/>
      <c r="J71" s="83"/>
      <c r="K71" s="83"/>
      <c r="L71" s="83"/>
      <c r="M71" s="83"/>
      <c r="N71" s="83"/>
    </row>
    <row r="72" spans="1:14" ht="46.2" customHeight="1" x14ac:dyDescent="0.3">
      <c r="A72" s="3"/>
      <c r="B72" s="253" t="s">
        <v>948</v>
      </c>
      <c r="C72" s="270"/>
      <c r="D72" s="270"/>
      <c r="E72" s="270"/>
      <c r="F72" s="254"/>
      <c r="G72" s="83"/>
      <c r="H72" s="83"/>
      <c r="I72" s="83"/>
      <c r="J72" s="83"/>
      <c r="K72" s="83"/>
      <c r="L72" s="83"/>
      <c r="M72" s="83"/>
      <c r="N72" s="83"/>
    </row>
    <row r="73" spans="1:14" x14ac:dyDescent="0.3">
      <c r="A73" s="3"/>
      <c r="B73" s="253" t="s">
        <v>71</v>
      </c>
      <c r="C73" s="270"/>
      <c r="D73" s="270"/>
      <c r="E73" s="270"/>
      <c r="F73" s="254"/>
      <c r="G73" s="83"/>
      <c r="H73" s="83"/>
      <c r="I73" s="83"/>
      <c r="J73" s="83"/>
      <c r="K73" s="83"/>
      <c r="L73" s="83"/>
      <c r="M73" s="83"/>
      <c r="N73" s="83"/>
    </row>
    <row r="74" spans="1:14" x14ac:dyDescent="0.3">
      <c r="A74" s="3"/>
      <c r="B74" s="84"/>
      <c r="C74" s="84"/>
      <c r="D74" s="84"/>
      <c r="E74" s="84"/>
      <c r="F74" s="84"/>
      <c r="G74" s="10"/>
      <c r="H74" s="10"/>
      <c r="I74" s="10"/>
      <c r="J74" s="10"/>
      <c r="K74" s="10"/>
      <c r="L74" s="10"/>
      <c r="M74" s="10"/>
      <c r="N74" s="10"/>
    </row>
    <row r="75" spans="1:14" ht="39" customHeight="1" x14ac:dyDescent="0.3">
      <c r="A75" s="3">
        <v>13</v>
      </c>
      <c r="B75" s="261" t="s">
        <v>51</v>
      </c>
      <c r="C75" s="262"/>
      <c r="D75" s="262"/>
      <c r="E75" s="262"/>
      <c r="F75" s="262"/>
      <c r="G75" s="263"/>
      <c r="H75" s="2"/>
      <c r="I75" s="2"/>
      <c r="J75" s="2"/>
      <c r="K75" s="2"/>
      <c r="L75" s="2"/>
      <c r="M75" s="2"/>
      <c r="N75" s="2"/>
    </row>
    <row r="76" spans="1:14" x14ac:dyDescent="0.3">
      <c r="A76" s="3"/>
      <c r="C76" s="66"/>
      <c r="D76" s="66"/>
      <c r="E76" s="66"/>
      <c r="F76" s="66"/>
      <c r="G76" s="66"/>
      <c r="H76" s="66"/>
      <c r="I76" s="66"/>
      <c r="J76" s="66"/>
      <c r="K76" s="66"/>
      <c r="L76" s="66"/>
      <c r="M76" s="66"/>
      <c r="N76" s="66"/>
    </row>
    <row r="77" spans="1:14" ht="61.2" x14ac:dyDescent="0.3">
      <c r="A77" s="3"/>
      <c r="B77" s="25" t="s">
        <v>52</v>
      </c>
      <c r="C77" s="25" t="s">
        <v>53</v>
      </c>
      <c r="D77" s="25" t="s">
        <v>603</v>
      </c>
      <c r="E77" s="25" t="s">
        <v>54</v>
      </c>
      <c r="F77" s="25" t="s">
        <v>55</v>
      </c>
      <c r="G77" s="25" t="s">
        <v>56</v>
      </c>
      <c r="H77" s="10"/>
      <c r="I77" s="10"/>
      <c r="J77" s="10"/>
      <c r="K77" s="10"/>
      <c r="L77" s="10"/>
      <c r="M77" s="10"/>
      <c r="N77" s="10"/>
    </row>
    <row r="78" spans="1:14" ht="21" customHeight="1" x14ac:dyDescent="0.3">
      <c r="A78" s="3"/>
      <c r="B78" s="297" t="s">
        <v>72</v>
      </c>
      <c r="C78" s="54" t="s">
        <v>348</v>
      </c>
      <c r="D78" s="134">
        <v>0.45</v>
      </c>
      <c r="E78" s="134">
        <v>1.07</v>
      </c>
      <c r="F78" s="88">
        <v>-0.48</v>
      </c>
      <c r="G78" s="88">
        <v>-0.91</v>
      </c>
    </row>
    <row r="79" spans="1:14" ht="21" customHeight="1" x14ac:dyDescent="0.3">
      <c r="A79" s="3"/>
      <c r="B79" s="309"/>
      <c r="C79" s="54" t="s">
        <v>237</v>
      </c>
      <c r="D79" s="135"/>
      <c r="E79" s="135"/>
      <c r="F79" s="88"/>
      <c r="G79" s="88"/>
    </row>
    <row r="80" spans="1:14" ht="21" customHeight="1" x14ac:dyDescent="0.3">
      <c r="A80" s="3"/>
      <c r="B80" s="309"/>
      <c r="C80" s="5" t="s">
        <v>350</v>
      </c>
      <c r="D80" s="135">
        <v>0.16</v>
      </c>
      <c r="E80" s="135">
        <v>2.3199999999999998</v>
      </c>
      <c r="F80" s="88">
        <v>-8.17</v>
      </c>
      <c r="G80" s="88">
        <v>-1.61</v>
      </c>
    </row>
    <row r="81" spans="1:7" ht="21" customHeight="1" x14ac:dyDescent="0.3">
      <c r="A81" s="3"/>
      <c r="B81" s="309"/>
      <c r="C81" s="5" t="s">
        <v>351</v>
      </c>
      <c r="D81" s="135">
        <v>7.52</v>
      </c>
      <c r="E81" s="135">
        <v>9.67</v>
      </c>
      <c r="F81" s="90">
        <v>7.8</v>
      </c>
      <c r="G81" s="88">
        <v>10.5</v>
      </c>
    </row>
    <row r="82" spans="1:7" ht="21" customHeight="1" x14ac:dyDescent="0.3">
      <c r="A82" s="3"/>
      <c r="B82" s="309"/>
      <c r="C82" s="5" t="s">
        <v>352</v>
      </c>
      <c r="D82" s="135">
        <v>1.64</v>
      </c>
      <c r="E82" s="135">
        <v>1.86</v>
      </c>
      <c r="F82" s="88">
        <v>1.31</v>
      </c>
      <c r="G82" s="88">
        <v>2.87</v>
      </c>
    </row>
    <row r="83" spans="1:7" ht="21" customHeight="1" x14ac:dyDescent="0.3">
      <c r="A83" s="3"/>
      <c r="B83" s="309"/>
      <c r="C83" s="5" t="s">
        <v>353</v>
      </c>
      <c r="D83" s="135">
        <v>1.79</v>
      </c>
      <c r="E83" s="135">
        <v>-2.08</v>
      </c>
      <c r="F83" s="88">
        <v>0.19</v>
      </c>
      <c r="G83" s="88">
        <v>-1.64</v>
      </c>
    </row>
    <row r="84" spans="1:7" ht="21" customHeight="1" x14ac:dyDescent="0.3">
      <c r="A84" s="3"/>
      <c r="B84" s="298"/>
      <c r="C84" s="54" t="s">
        <v>295</v>
      </c>
      <c r="D84" s="140">
        <f>AVERAGE(D80:D83)</f>
        <v>2.7774999999999999</v>
      </c>
      <c r="E84" s="140">
        <f>AVERAGE(E80:E83)</f>
        <v>2.9424999999999999</v>
      </c>
      <c r="F84" s="140">
        <f>AVERAGE(F80:F83)</f>
        <v>0.28249999999999997</v>
      </c>
      <c r="G84" s="116">
        <f>AVERAGE(G80:G83)</f>
        <v>2.5300000000000002</v>
      </c>
    </row>
    <row r="85" spans="1:7" x14ac:dyDescent="0.3">
      <c r="A85" s="3"/>
      <c r="B85" s="297" t="s">
        <v>59</v>
      </c>
      <c r="C85" s="54" t="s">
        <v>348</v>
      </c>
      <c r="D85" s="135">
        <v>100</v>
      </c>
      <c r="E85" s="153">
        <f>F68/E78</f>
        <v>45.934579439252332</v>
      </c>
      <c r="F85" s="88">
        <f>I68/F78</f>
        <v>-96.875</v>
      </c>
      <c r="G85" s="90">
        <f>L68/G78</f>
        <v>-40.494505494505496</v>
      </c>
    </row>
    <row r="86" spans="1:7" x14ac:dyDescent="0.3">
      <c r="A86" s="3"/>
      <c r="B86" s="309"/>
      <c r="C86" s="54" t="s">
        <v>237</v>
      </c>
      <c r="D86" s="135"/>
      <c r="E86" s="135"/>
      <c r="F86" s="88"/>
      <c r="G86" s="88"/>
    </row>
    <row r="87" spans="1:7" ht="42" x14ac:dyDescent="0.3">
      <c r="A87" s="3"/>
      <c r="B87" s="309"/>
      <c r="C87" s="5" t="s">
        <v>350</v>
      </c>
      <c r="D87" s="135">
        <v>40.85</v>
      </c>
      <c r="E87" s="153">
        <f>6.99/E80</f>
        <v>3.0129310344827589</v>
      </c>
      <c r="F87" s="90">
        <f>3.59/F80</f>
        <v>-0.4394124847001224</v>
      </c>
      <c r="G87" s="88">
        <v>-1.63</v>
      </c>
    </row>
    <row r="88" spans="1:7" x14ac:dyDescent="0.3">
      <c r="A88" s="3"/>
      <c r="B88" s="309"/>
      <c r="C88" s="5" t="s">
        <v>351</v>
      </c>
      <c r="D88" s="135">
        <v>23.92</v>
      </c>
      <c r="E88" s="153">
        <f>239.3/E81</f>
        <v>24.746639089968976</v>
      </c>
      <c r="F88" s="90">
        <f>198.1/F81</f>
        <v>25.397435897435898</v>
      </c>
      <c r="G88" s="90">
        <f>126.85/G81</f>
        <v>12.080952380952381</v>
      </c>
    </row>
    <row r="89" spans="1:7" x14ac:dyDescent="0.3">
      <c r="A89" s="3"/>
      <c r="B89" s="309"/>
      <c r="C89" s="5" t="s">
        <v>352</v>
      </c>
      <c r="D89" s="135">
        <v>45.73</v>
      </c>
      <c r="E89" s="153">
        <f>81.17/E82</f>
        <v>43.63978494623656</v>
      </c>
      <c r="F89" s="90">
        <f>61.4/F82</f>
        <v>46.870229007633583</v>
      </c>
      <c r="G89" s="88">
        <v>27.44</v>
      </c>
    </row>
    <row r="90" spans="1:7" x14ac:dyDescent="0.3">
      <c r="A90" s="3"/>
      <c r="B90" s="309"/>
      <c r="C90" s="5" t="s">
        <v>353</v>
      </c>
      <c r="D90" s="135">
        <v>22.91</v>
      </c>
      <c r="E90" s="153">
        <f>39.05/E83</f>
        <v>-18.77403846153846</v>
      </c>
      <c r="F90" s="90">
        <f>18.96/F83</f>
        <v>99.789473684210535</v>
      </c>
      <c r="G90" s="88">
        <v>-8.33</v>
      </c>
    </row>
    <row r="91" spans="1:7" x14ac:dyDescent="0.3">
      <c r="A91" s="3"/>
      <c r="B91" s="298"/>
      <c r="C91" s="54" t="s">
        <v>295</v>
      </c>
      <c r="D91" s="140">
        <f>AVERAGE(D87:D90)</f>
        <v>33.352499999999999</v>
      </c>
      <c r="E91" s="140">
        <f>AVERAGE(E87:E90)</f>
        <v>13.15632915228746</v>
      </c>
      <c r="F91" s="140">
        <f>AVERAGE(F87:F90)</f>
        <v>42.904431526144975</v>
      </c>
      <c r="G91" s="157">
        <f>AVERAGE(G87:G90)</f>
        <v>7.3902380952380966</v>
      </c>
    </row>
    <row r="92" spans="1:7" x14ac:dyDescent="0.3">
      <c r="A92" s="3"/>
      <c r="B92" s="297" t="s">
        <v>60</v>
      </c>
      <c r="C92" s="54" t="s">
        <v>348</v>
      </c>
      <c r="D92" s="142">
        <v>4.2799999999999998E-2</v>
      </c>
      <c r="E92" s="142">
        <v>4.3099999999999999E-2</v>
      </c>
      <c r="F92" s="110">
        <v>2.4400000000000002E-2</v>
      </c>
      <c r="G92" s="110">
        <v>-4.87E-2</v>
      </c>
    </row>
    <row r="93" spans="1:7" x14ac:dyDescent="0.3">
      <c r="A93" s="3"/>
      <c r="B93" s="309"/>
      <c r="C93" s="54" t="s">
        <v>237</v>
      </c>
      <c r="D93" s="5"/>
      <c r="E93" s="5"/>
      <c r="F93" s="88"/>
      <c r="G93" s="88"/>
    </row>
    <row r="94" spans="1:7" ht="42" x14ac:dyDescent="0.3">
      <c r="A94" s="3"/>
      <c r="B94" s="309"/>
      <c r="C94" s="5" t="s">
        <v>350</v>
      </c>
      <c r="D94" s="142">
        <v>0.1148</v>
      </c>
      <c r="E94" s="142">
        <v>0.215</v>
      </c>
      <c r="F94" s="110">
        <v>3.2799</v>
      </c>
      <c r="G94" s="110">
        <v>-0.91839999999999999</v>
      </c>
    </row>
    <row r="95" spans="1:7" x14ac:dyDescent="0.3">
      <c r="A95" s="3"/>
      <c r="B95" s="309"/>
      <c r="C95" s="5" t="s">
        <v>351</v>
      </c>
      <c r="D95" s="142">
        <v>8.3299999999999999E-2</v>
      </c>
      <c r="E95" s="142">
        <v>9.7799999999999998E-2</v>
      </c>
      <c r="F95" s="110">
        <v>7.3899999999999993E-2</v>
      </c>
      <c r="G95" s="88">
        <v>9.0500000000000007</v>
      </c>
    </row>
    <row r="96" spans="1:7" x14ac:dyDescent="0.3">
      <c r="A96" s="3"/>
      <c r="B96" s="309"/>
      <c r="C96" s="5" t="s">
        <v>352</v>
      </c>
      <c r="D96" s="142">
        <v>0.2351</v>
      </c>
      <c r="E96" s="142">
        <v>0.21160000000000001</v>
      </c>
      <c r="F96" s="110">
        <v>0.13039999999999999</v>
      </c>
      <c r="G96" s="110">
        <v>2.2000000000000001E-3</v>
      </c>
    </row>
    <row r="97" spans="1:7" x14ac:dyDescent="0.3">
      <c r="A97" s="3"/>
      <c r="B97" s="309"/>
      <c r="C97" s="5" t="s">
        <v>353</v>
      </c>
      <c r="D97" s="142">
        <v>2.8400000000000002E-2</v>
      </c>
      <c r="E97" s="142">
        <v>-8.4400000000000003E-2</v>
      </c>
      <c r="F97" s="110">
        <v>7.4000000000000003E-3</v>
      </c>
      <c r="G97" s="88">
        <v>-7.0000000000000007E-2</v>
      </c>
    </row>
    <row r="98" spans="1:7" x14ac:dyDescent="0.3">
      <c r="A98" s="3"/>
      <c r="B98" s="298"/>
      <c r="C98" s="54" t="s">
        <v>295</v>
      </c>
      <c r="D98" s="143">
        <f>AVERAGE(D94:D97)</f>
        <v>0.1154</v>
      </c>
      <c r="E98" s="143">
        <f>AVERAGE(E94:E97)</f>
        <v>0.10999999999999999</v>
      </c>
      <c r="F98" s="143">
        <f>AVERAGE(F94:F97)</f>
        <v>0.87290000000000001</v>
      </c>
      <c r="G98" s="131">
        <f>AVERAGE(G94:G97)</f>
        <v>2.0159500000000001</v>
      </c>
    </row>
    <row r="99" spans="1:7" x14ac:dyDescent="0.3">
      <c r="A99" s="3"/>
      <c r="B99" s="310" t="s">
        <v>61</v>
      </c>
      <c r="C99" s="54" t="s">
        <v>348</v>
      </c>
      <c r="D99" s="135">
        <v>10.48</v>
      </c>
      <c r="E99" s="153">
        <v>20.7</v>
      </c>
      <c r="F99" s="90">
        <v>19.7</v>
      </c>
      <c r="G99" s="88">
        <v>18.79</v>
      </c>
    </row>
    <row r="100" spans="1:7" x14ac:dyDescent="0.3">
      <c r="A100" s="3"/>
      <c r="B100" s="310"/>
      <c r="C100" s="54" t="s">
        <v>237</v>
      </c>
      <c r="D100" s="135"/>
      <c r="E100" s="135"/>
      <c r="F100" s="88"/>
      <c r="G100" s="88"/>
    </row>
    <row r="101" spans="1:7" ht="42" x14ac:dyDescent="0.3">
      <c r="A101" s="3"/>
      <c r="B101" s="310"/>
      <c r="C101" s="5" t="s">
        <v>350</v>
      </c>
      <c r="D101" s="151">
        <v>8.48</v>
      </c>
      <c r="E101" s="151">
        <v>10.81</v>
      </c>
      <c r="F101" s="88">
        <v>2.4900000000000002</v>
      </c>
      <c r="G101" s="88">
        <v>1.75</v>
      </c>
    </row>
    <row r="102" spans="1:7" x14ac:dyDescent="0.3">
      <c r="A102" s="3"/>
      <c r="B102" s="310"/>
      <c r="C102" s="5" t="s">
        <v>351</v>
      </c>
      <c r="D102" s="134">
        <v>89.84</v>
      </c>
      <c r="E102" s="134">
        <v>98.89</v>
      </c>
      <c r="F102" s="90">
        <v>10.5</v>
      </c>
      <c r="G102" s="88">
        <v>115.45</v>
      </c>
    </row>
    <row r="103" spans="1:7" x14ac:dyDescent="0.3">
      <c r="A103" s="3"/>
      <c r="B103" s="310"/>
      <c r="C103" s="5" t="s">
        <v>352</v>
      </c>
      <c r="D103" s="134">
        <v>6.96</v>
      </c>
      <c r="E103" s="159">
        <v>8.8000000000000007</v>
      </c>
      <c r="F103" s="88">
        <v>10.08</v>
      </c>
      <c r="G103" s="88">
        <v>12.9</v>
      </c>
    </row>
    <row r="104" spans="1:7" x14ac:dyDescent="0.3">
      <c r="A104" s="3"/>
      <c r="B104" s="310"/>
      <c r="C104" s="5" t="s">
        <v>353</v>
      </c>
      <c r="D104" s="134">
        <v>61.23</v>
      </c>
      <c r="E104" s="151">
        <v>24.7</v>
      </c>
      <c r="F104" s="88">
        <v>25.51</v>
      </c>
      <c r="G104" s="88">
        <v>22.62</v>
      </c>
    </row>
    <row r="105" spans="1:7" x14ac:dyDescent="0.35">
      <c r="A105" s="3"/>
      <c r="B105" s="310"/>
      <c r="C105" s="54" t="s">
        <v>295</v>
      </c>
      <c r="D105" s="144">
        <f>AVERAGE(D101:D104)</f>
        <v>41.627499999999998</v>
      </c>
      <c r="E105" s="150">
        <f>AVERAGE(E101:E104)</f>
        <v>35.799999999999997</v>
      </c>
      <c r="F105" s="150">
        <f>AVERAGE(F101:F104)</f>
        <v>12.145</v>
      </c>
      <c r="G105" s="116">
        <f>AVERAGE(G101:G104)</f>
        <v>38.18</v>
      </c>
    </row>
    <row r="106" spans="1:7" x14ac:dyDescent="0.3">
      <c r="A106" s="3"/>
      <c r="B106" s="301"/>
      <c r="C106" s="302"/>
      <c r="D106" s="302"/>
      <c r="E106" s="302"/>
      <c r="F106" s="302"/>
      <c r="G106" s="303"/>
    </row>
    <row r="107" spans="1:7" s="2" customFormat="1" x14ac:dyDescent="0.3">
      <c r="B107" s="253"/>
      <c r="C107" s="270"/>
      <c r="D107" s="270"/>
      <c r="E107" s="270"/>
      <c r="F107" s="270"/>
      <c r="G107" s="254"/>
    </row>
    <row r="108" spans="1:7" x14ac:dyDescent="0.3">
      <c r="A108" s="3"/>
      <c r="B108" s="304" t="s">
        <v>346</v>
      </c>
      <c r="C108" s="242"/>
      <c r="D108" s="242"/>
      <c r="E108" s="242"/>
      <c r="F108" s="242"/>
      <c r="G108" s="305"/>
    </row>
    <row r="109" spans="1:7" ht="39.6" customHeight="1" x14ac:dyDescent="0.3">
      <c r="A109" s="3"/>
      <c r="B109" s="403" t="s">
        <v>949</v>
      </c>
      <c r="C109" s="403"/>
      <c r="D109" s="403"/>
      <c r="E109" s="403"/>
      <c r="F109" s="403"/>
      <c r="G109" s="403"/>
    </row>
    <row r="110" spans="1:7" x14ac:dyDescent="0.3">
      <c r="C110" s="306"/>
      <c r="D110" s="306"/>
      <c r="E110" s="306"/>
      <c r="F110" s="306"/>
      <c r="G110" s="306"/>
    </row>
    <row r="111" spans="1:7" x14ac:dyDescent="0.3">
      <c r="A111" s="3">
        <v>14</v>
      </c>
      <c r="B111" s="54" t="s">
        <v>63</v>
      </c>
      <c r="C111" s="307" t="s">
        <v>50</v>
      </c>
      <c r="D111" s="308"/>
      <c r="E111" s="308"/>
      <c r="F111" s="308"/>
      <c r="G111" s="249"/>
    </row>
    <row r="112" spans="1:7" x14ac:dyDescent="0.3">
      <c r="C112" s="55"/>
      <c r="D112" s="55"/>
      <c r="E112" s="55"/>
      <c r="F112" s="55"/>
      <c r="G112" s="55"/>
    </row>
    <row r="113" spans="2:8" x14ac:dyDescent="0.3">
      <c r="B113" s="299" t="s">
        <v>349</v>
      </c>
      <c r="C113" s="299"/>
      <c r="D113" s="299"/>
      <c r="E113" s="299"/>
      <c r="F113" s="299"/>
      <c r="G113" s="299"/>
      <c r="H113" s="299"/>
    </row>
    <row r="118" spans="2:8" x14ac:dyDescent="0.3">
      <c r="D118" s="56"/>
      <c r="E118" s="56"/>
    </row>
    <row r="119" spans="2:8" x14ac:dyDescent="0.3">
      <c r="E119" s="56"/>
    </row>
  </sheetData>
  <mergeCells count="59">
    <mergeCell ref="B75:G75"/>
    <mergeCell ref="B78:B84"/>
    <mergeCell ref="B85:B91"/>
    <mergeCell ref="B113:H113"/>
    <mergeCell ref="B106:G106"/>
    <mergeCell ref="B107:G107"/>
    <mergeCell ref="B108:G108"/>
    <mergeCell ref="C110:G110"/>
    <mergeCell ref="C111:G111"/>
    <mergeCell ref="B92:B98"/>
    <mergeCell ref="B99:B105"/>
    <mergeCell ref="B109:G109"/>
    <mergeCell ref="B70:N70"/>
    <mergeCell ref="I66:K66"/>
    <mergeCell ref="B73:F73"/>
    <mergeCell ref="C66:C67"/>
    <mergeCell ref="D66:D67"/>
    <mergeCell ref="E66:E67"/>
    <mergeCell ref="F66:H66"/>
    <mergeCell ref="L66:N66"/>
    <mergeCell ref="B72:F72"/>
    <mergeCell ref="B71:F71"/>
    <mergeCell ref="B66:B67"/>
    <mergeCell ref="C62:E62"/>
    <mergeCell ref="C44:E44"/>
    <mergeCell ref="B45:E45"/>
    <mergeCell ref="B47:E47"/>
    <mergeCell ref="B50:E50"/>
    <mergeCell ref="B53:E53"/>
    <mergeCell ref="B54:B55"/>
    <mergeCell ref="C54:E55"/>
    <mergeCell ref="C56:E56"/>
    <mergeCell ref="C57:E57"/>
    <mergeCell ref="B58:E58"/>
    <mergeCell ref="C60:E60"/>
    <mergeCell ref="C61:E61"/>
    <mergeCell ref="C43:E43"/>
    <mergeCell ref="C22:E22"/>
    <mergeCell ref="C23:E23"/>
    <mergeCell ref="C24:E24"/>
    <mergeCell ref="B26:E26"/>
    <mergeCell ref="B27:E27"/>
    <mergeCell ref="B33:E33"/>
    <mergeCell ref="B35:E35"/>
    <mergeCell ref="B39:D39"/>
    <mergeCell ref="B41:E41"/>
    <mergeCell ref="C42:E42"/>
    <mergeCell ref="C21:E21"/>
    <mergeCell ref="A1:B1"/>
    <mergeCell ref="C5:E5"/>
    <mergeCell ref="B6:D6"/>
    <mergeCell ref="B9:D9"/>
    <mergeCell ref="C11:E11"/>
    <mergeCell ref="B12:D12"/>
    <mergeCell ref="C14:E14"/>
    <mergeCell ref="B15:D15"/>
    <mergeCell ref="B17:C17"/>
    <mergeCell ref="B19:E19"/>
    <mergeCell ref="C20:E20"/>
  </mergeCells>
  <pageMargins left="0.70866141732283472" right="0.70866141732283472" top="0.74803149606299213" bottom="0.74803149606299213" header="0.31496062992125984" footer="0.31496062992125984"/>
  <pageSetup paperSize="9" scale="29" fitToWidth="70" fitToHeight="2" orientation="landscape" horizontalDpi="4294967292"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A20AF-35D6-4259-A822-1BD26914760A}">
  <sheetPr>
    <pageSetUpPr fitToPage="1"/>
  </sheetPr>
  <dimension ref="A1:N116"/>
  <sheetViews>
    <sheetView view="pageBreakPreview" zoomScale="45" zoomScaleNormal="50" workbookViewId="0">
      <selection activeCell="C11" sqref="C11:E11"/>
    </sheetView>
  </sheetViews>
  <sheetFormatPr defaultColWidth="8.6640625" defaultRowHeight="14.4" x14ac:dyDescent="0.3"/>
  <cols>
    <col min="2" max="2" width="58.33203125" customWidth="1"/>
    <col min="3" max="3" width="81" customWidth="1"/>
    <col min="4" max="4" width="60.33203125" customWidth="1"/>
    <col min="5" max="5" width="27.6640625" customWidth="1"/>
    <col min="6" max="6" width="19.33203125" customWidth="1"/>
    <col min="7" max="7" width="14.33203125" customWidth="1"/>
    <col min="8" max="8" width="22.6640625" customWidth="1"/>
    <col min="9" max="9" width="16.33203125" customWidth="1"/>
    <col min="10" max="10" width="16.44140625" customWidth="1"/>
    <col min="11" max="11" width="13.109375" customWidth="1"/>
    <col min="12" max="14" width="12.88671875" bestFit="1" customWidth="1"/>
  </cols>
  <sheetData>
    <row r="1" spans="1:14" ht="20.25" customHeight="1" x14ac:dyDescent="0.3">
      <c r="A1" s="246" t="s">
        <v>0</v>
      </c>
      <c r="B1" s="246"/>
      <c r="C1" s="1"/>
      <c r="D1" s="2"/>
      <c r="E1" s="1"/>
      <c r="F1" s="1"/>
      <c r="G1" s="1"/>
      <c r="H1" s="1"/>
      <c r="I1" s="1"/>
      <c r="J1" s="1"/>
      <c r="K1" s="1"/>
      <c r="L1" s="1"/>
      <c r="M1" s="1"/>
      <c r="N1" s="1"/>
    </row>
    <row r="2" spans="1:14" ht="21" x14ac:dyDescent="0.3">
      <c r="A2" s="1"/>
      <c r="B2" s="1"/>
      <c r="C2" s="1"/>
      <c r="D2" s="1"/>
      <c r="E2" s="1"/>
      <c r="F2" s="1"/>
      <c r="G2" s="1"/>
      <c r="H2" s="1"/>
      <c r="I2" s="1"/>
      <c r="J2" s="1"/>
      <c r="K2" s="1"/>
      <c r="L2" s="1"/>
      <c r="M2" s="1"/>
      <c r="N2" s="1"/>
    </row>
    <row r="3" spans="1:14" ht="40.799999999999997" x14ac:dyDescent="0.3">
      <c r="A3" s="3" t="s">
        <v>1</v>
      </c>
      <c r="B3" s="54" t="s">
        <v>2</v>
      </c>
      <c r="C3" s="5" t="s">
        <v>553</v>
      </c>
      <c r="D3" s="1"/>
      <c r="E3" s="1"/>
      <c r="F3" s="1"/>
      <c r="G3" s="1"/>
      <c r="H3" s="1"/>
      <c r="I3" s="1"/>
      <c r="J3" s="1"/>
      <c r="K3" s="1"/>
      <c r="L3" s="1"/>
      <c r="M3" s="1"/>
      <c r="N3" s="1"/>
    </row>
    <row r="4" spans="1:14" ht="21" x14ac:dyDescent="0.3">
      <c r="A4" s="1"/>
      <c r="B4" s="1"/>
      <c r="C4" s="1"/>
      <c r="D4" s="22"/>
      <c r="E4" s="1"/>
      <c r="F4" s="1"/>
      <c r="G4" s="1"/>
      <c r="H4" s="1"/>
      <c r="I4" s="1"/>
      <c r="J4" s="1"/>
      <c r="K4" s="1"/>
      <c r="L4" s="1"/>
      <c r="M4" s="1"/>
      <c r="N4" s="1"/>
    </row>
    <row r="5" spans="1:14" ht="21" x14ac:dyDescent="0.3">
      <c r="A5" s="62">
        <v>1</v>
      </c>
      <c r="B5" s="63" t="s">
        <v>3</v>
      </c>
      <c r="C5" s="247" t="s">
        <v>799</v>
      </c>
      <c r="D5" s="248"/>
      <c r="E5" s="249"/>
      <c r="F5" s="1"/>
      <c r="G5" s="1"/>
      <c r="H5" s="1"/>
      <c r="I5" s="1"/>
      <c r="J5" s="1"/>
      <c r="K5" s="1"/>
      <c r="L5" s="1"/>
      <c r="M5" s="1"/>
      <c r="N5" s="1"/>
    </row>
    <row r="6" spans="1:14" ht="21" x14ac:dyDescent="0.3">
      <c r="A6" s="3"/>
      <c r="B6" s="250" t="s">
        <v>4</v>
      </c>
      <c r="C6" s="251"/>
      <c r="D6" s="252"/>
      <c r="E6" s="10"/>
      <c r="F6" s="1"/>
      <c r="G6" s="1"/>
      <c r="H6" s="1"/>
      <c r="I6" s="1"/>
      <c r="J6" s="1"/>
      <c r="K6" s="1"/>
      <c r="L6" s="1"/>
      <c r="M6" s="1"/>
      <c r="N6" s="1"/>
    </row>
    <row r="7" spans="1:14" ht="21" x14ac:dyDescent="0.3">
      <c r="A7" s="3"/>
      <c r="B7" s="2"/>
      <c r="C7" s="1"/>
      <c r="D7" s="22"/>
      <c r="E7" s="1"/>
      <c r="F7" s="1"/>
      <c r="G7" s="1"/>
      <c r="H7" s="1"/>
      <c r="I7" s="1"/>
      <c r="J7" s="1"/>
      <c r="K7" s="1"/>
      <c r="L7" s="1"/>
      <c r="M7" s="1"/>
      <c r="N7" s="1"/>
    </row>
    <row r="8" spans="1:14" ht="21" x14ac:dyDescent="0.3">
      <c r="A8" s="3">
        <v>2</v>
      </c>
      <c r="B8" s="63" t="s">
        <v>5</v>
      </c>
      <c r="C8" s="12" t="s">
        <v>354</v>
      </c>
      <c r="D8" s="22"/>
      <c r="E8" s="1"/>
      <c r="F8" s="1"/>
      <c r="G8" s="1"/>
      <c r="H8" s="1"/>
      <c r="I8" s="1"/>
      <c r="J8" s="1"/>
      <c r="K8" s="1"/>
      <c r="L8" s="1"/>
      <c r="M8" s="1"/>
      <c r="N8" s="1"/>
    </row>
    <row r="9" spans="1:14" ht="21" x14ac:dyDescent="0.3">
      <c r="A9" s="3"/>
      <c r="B9" s="250" t="s">
        <v>4</v>
      </c>
      <c r="C9" s="251"/>
      <c r="D9" s="252"/>
      <c r="E9" s="1"/>
      <c r="F9" s="1"/>
      <c r="G9" s="1"/>
      <c r="H9" s="1"/>
      <c r="I9" s="1"/>
      <c r="J9" s="1"/>
      <c r="K9" s="1"/>
      <c r="L9" s="1"/>
      <c r="M9" s="1"/>
      <c r="N9" s="1"/>
    </row>
    <row r="10" spans="1:14" ht="21" x14ac:dyDescent="0.3">
      <c r="A10" s="3"/>
      <c r="B10" s="2"/>
      <c r="C10" s="1"/>
      <c r="D10" s="22"/>
      <c r="E10" s="1"/>
      <c r="F10" s="1"/>
      <c r="G10" s="1"/>
      <c r="H10" s="1"/>
      <c r="I10" s="1"/>
      <c r="J10" s="1"/>
      <c r="K10" s="1"/>
      <c r="L10" s="1"/>
      <c r="M10" s="1"/>
      <c r="N10" s="1"/>
    </row>
    <row r="11" spans="1:14" ht="40.950000000000003" customHeight="1" x14ac:dyDescent="0.3">
      <c r="A11" s="3">
        <v>3</v>
      </c>
      <c r="B11" s="63" t="s">
        <v>6</v>
      </c>
      <c r="C11" s="247" t="s">
        <v>90</v>
      </c>
      <c r="D11" s="248"/>
      <c r="E11" s="249"/>
      <c r="F11" s="1"/>
      <c r="G11" s="1"/>
      <c r="H11" s="1"/>
      <c r="I11" s="1"/>
      <c r="J11" s="1"/>
      <c r="K11" s="1"/>
      <c r="L11" s="1"/>
      <c r="M11" s="1"/>
      <c r="N11" s="1"/>
    </row>
    <row r="12" spans="1:14" ht="21" x14ac:dyDescent="0.3">
      <c r="A12" s="3"/>
      <c r="B12" s="250" t="s">
        <v>4</v>
      </c>
      <c r="C12" s="251"/>
      <c r="D12" s="252"/>
      <c r="E12" s="10"/>
      <c r="F12" s="1"/>
      <c r="G12" s="1"/>
      <c r="H12" s="1"/>
      <c r="I12" s="1"/>
      <c r="J12" s="1"/>
      <c r="K12" s="1"/>
      <c r="L12" s="1"/>
      <c r="M12" s="1"/>
      <c r="N12" s="1"/>
    </row>
    <row r="13" spans="1:14" ht="21" x14ac:dyDescent="0.3">
      <c r="A13" s="3"/>
      <c r="B13" s="2"/>
      <c r="C13" s="1"/>
      <c r="D13" s="22"/>
      <c r="E13" s="1"/>
      <c r="F13" s="1"/>
      <c r="G13" s="1"/>
      <c r="H13" s="1"/>
      <c r="I13" s="1"/>
      <c r="J13" s="1"/>
      <c r="K13" s="1"/>
      <c r="L13" s="1"/>
      <c r="M13" s="1"/>
      <c r="N13" s="1"/>
    </row>
    <row r="14" spans="1:14" ht="21" x14ac:dyDescent="0.3">
      <c r="A14" s="3">
        <v>4</v>
      </c>
      <c r="B14" s="54" t="s">
        <v>92</v>
      </c>
      <c r="C14" s="247" t="s">
        <v>90</v>
      </c>
      <c r="D14" s="248"/>
      <c r="E14" s="249"/>
      <c r="F14" s="1"/>
      <c r="G14" s="1"/>
      <c r="H14" s="1"/>
      <c r="I14" s="1"/>
      <c r="J14" s="1"/>
      <c r="K14" s="1"/>
      <c r="L14" s="1"/>
      <c r="M14" s="1"/>
      <c r="N14" s="1"/>
    </row>
    <row r="15" spans="1:14" ht="21" x14ac:dyDescent="0.3">
      <c r="A15" s="3"/>
      <c r="B15" s="250" t="s">
        <v>4</v>
      </c>
      <c r="C15" s="251"/>
      <c r="D15" s="252"/>
      <c r="E15" s="1"/>
      <c r="F15" s="1"/>
      <c r="G15" s="1"/>
      <c r="H15" s="1"/>
      <c r="I15" s="1"/>
      <c r="J15" s="1"/>
      <c r="K15" s="1"/>
      <c r="L15" s="1"/>
      <c r="M15" s="1"/>
      <c r="N15" s="1"/>
    </row>
    <row r="16" spans="1:14" ht="21" x14ac:dyDescent="0.3">
      <c r="A16" s="3">
        <v>4</v>
      </c>
      <c r="B16" s="54" t="s">
        <v>7</v>
      </c>
      <c r="C16" s="5" t="s">
        <v>422</v>
      </c>
      <c r="D16" s="22"/>
      <c r="E16" s="1"/>
      <c r="F16" s="1"/>
      <c r="G16" s="1"/>
      <c r="H16" s="1"/>
      <c r="I16" s="1"/>
      <c r="J16" s="1"/>
      <c r="K16" s="1"/>
      <c r="L16" s="1"/>
      <c r="M16" s="1"/>
      <c r="N16" s="1"/>
    </row>
    <row r="17" spans="1:14" ht="21" x14ac:dyDescent="0.3">
      <c r="A17" s="3"/>
      <c r="B17" s="253" t="s">
        <v>8</v>
      </c>
      <c r="C17" s="254"/>
      <c r="D17" s="22"/>
      <c r="E17" s="1"/>
      <c r="F17" s="1"/>
      <c r="G17" s="1"/>
      <c r="H17" s="1"/>
      <c r="I17" s="1"/>
      <c r="J17" s="1"/>
      <c r="K17" s="1"/>
      <c r="L17" s="1"/>
      <c r="M17" s="1"/>
      <c r="N17" s="1"/>
    </row>
    <row r="18" spans="1:14" ht="21" x14ac:dyDescent="0.3">
      <c r="A18" s="3"/>
      <c r="B18" s="1"/>
      <c r="C18" s="1"/>
      <c r="D18" s="22"/>
      <c r="E18" s="1"/>
      <c r="F18" s="1"/>
      <c r="G18" s="1"/>
      <c r="H18" s="1"/>
      <c r="I18" s="1"/>
      <c r="J18" s="1"/>
      <c r="K18" s="1"/>
      <c r="L18" s="1"/>
      <c r="M18" s="1"/>
      <c r="N18" s="1"/>
    </row>
    <row r="19" spans="1:14" ht="21" x14ac:dyDescent="0.3">
      <c r="A19" s="3">
        <v>5</v>
      </c>
      <c r="B19" s="255" t="s">
        <v>9</v>
      </c>
      <c r="C19" s="256"/>
      <c r="D19" s="256"/>
      <c r="E19" s="257"/>
      <c r="F19" s="2"/>
      <c r="G19" s="2"/>
      <c r="H19" s="2"/>
      <c r="I19" s="2"/>
      <c r="J19" s="10"/>
      <c r="K19" s="10"/>
      <c r="L19" s="10"/>
      <c r="M19" s="10"/>
      <c r="N19" s="10"/>
    </row>
    <row r="20" spans="1:14" ht="21" x14ac:dyDescent="0.3">
      <c r="A20" s="3"/>
      <c r="B20" s="65" t="s">
        <v>10</v>
      </c>
      <c r="C20" s="243" t="s">
        <v>11</v>
      </c>
      <c r="D20" s="244"/>
      <c r="E20" s="245"/>
      <c r="F20" s="66"/>
      <c r="G20" s="10"/>
      <c r="H20" s="10"/>
      <c r="I20" s="10"/>
      <c r="J20" s="10"/>
      <c r="K20" s="10"/>
      <c r="L20" s="10"/>
      <c r="M20" s="10"/>
      <c r="N20" s="10"/>
    </row>
    <row r="21" spans="1:14" ht="61.2" x14ac:dyDescent="0.3">
      <c r="A21" s="3"/>
      <c r="B21" s="65" t="s">
        <v>300</v>
      </c>
      <c r="C21" s="243" t="s">
        <v>11</v>
      </c>
      <c r="D21" s="244"/>
      <c r="E21" s="245"/>
      <c r="F21" s="66"/>
      <c r="G21" s="10"/>
      <c r="H21" s="1"/>
      <c r="I21" s="10"/>
      <c r="J21" s="10"/>
      <c r="K21" s="10"/>
      <c r="L21" s="10"/>
      <c r="M21" s="10"/>
      <c r="N21" s="10"/>
    </row>
    <row r="22" spans="1:14" ht="21" x14ac:dyDescent="0.3">
      <c r="A22" s="3"/>
      <c r="B22" s="65" t="s">
        <v>243</v>
      </c>
      <c r="C22" s="438">
        <v>0.01</v>
      </c>
      <c r="D22" s="439"/>
      <c r="E22" s="440"/>
      <c r="F22" s="66"/>
      <c r="G22" s="10"/>
      <c r="H22" s="10"/>
      <c r="I22" s="10"/>
      <c r="J22" s="10"/>
      <c r="K22" s="10"/>
      <c r="L22" s="10"/>
      <c r="M22" s="10"/>
      <c r="N22" s="10"/>
    </row>
    <row r="23" spans="1:14" ht="21" x14ac:dyDescent="0.3">
      <c r="A23" s="3"/>
      <c r="B23" s="64" t="s">
        <v>252</v>
      </c>
      <c r="C23" s="438">
        <v>0.01</v>
      </c>
      <c r="D23" s="439"/>
      <c r="E23" s="440"/>
      <c r="F23" s="66"/>
      <c r="G23" s="10"/>
      <c r="H23" s="10"/>
      <c r="I23" s="10"/>
      <c r="J23" s="10"/>
      <c r="K23" s="10"/>
      <c r="L23" s="10"/>
      <c r="M23" s="10"/>
      <c r="N23" s="10"/>
    </row>
    <row r="24" spans="1:14" ht="21" x14ac:dyDescent="0.3">
      <c r="A24" s="3"/>
      <c r="B24" s="67" t="s">
        <v>253</v>
      </c>
      <c r="C24" s="243" t="s">
        <v>11</v>
      </c>
      <c r="D24" s="244"/>
      <c r="E24" s="245"/>
      <c r="F24" s="66"/>
      <c r="G24" s="10"/>
      <c r="H24" s="10"/>
      <c r="I24" s="10"/>
      <c r="J24" s="10"/>
      <c r="K24" s="10"/>
      <c r="L24" s="10"/>
      <c r="M24" s="10"/>
      <c r="N24" s="10"/>
    </row>
    <row r="25" spans="1:14" ht="40.5" customHeight="1" x14ac:dyDescent="0.3">
      <c r="A25" s="3"/>
      <c r="B25" s="262" t="s">
        <v>793</v>
      </c>
      <c r="C25" s="262"/>
      <c r="D25" s="262"/>
      <c r="E25" s="262"/>
      <c r="F25" s="66"/>
      <c r="G25" s="10"/>
      <c r="H25" s="10"/>
      <c r="I25" s="10"/>
      <c r="J25" s="10"/>
      <c r="K25" s="10"/>
      <c r="L25" s="10"/>
      <c r="M25" s="10"/>
      <c r="N25" s="10"/>
    </row>
    <row r="26" spans="1:14" ht="21" x14ac:dyDescent="0.3">
      <c r="A26" s="3">
        <v>6</v>
      </c>
      <c r="B26" s="261" t="s">
        <v>74</v>
      </c>
      <c r="C26" s="262"/>
      <c r="D26" s="262"/>
      <c r="E26" s="263"/>
      <c r="F26" s="2"/>
      <c r="G26" s="2"/>
      <c r="H26" s="10"/>
      <c r="I26" s="2"/>
      <c r="J26" s="2"/>
      <c r="K26" s="1"/>
      <c r="L26" s="1"/>
      <c r="M26" s="1"/>
      <c r="N26" s="1"/>
    </row>
    <row r="27" spans="1:14" ht="21" x14ac:dyDescent="0.3">
      <c r="A27" s="3"/>
      <c r="B27" s="264" t="s">
        <v>17</v>
      </c>
      <c r="C27" s="265"/>
      <c r="D27" s="265"/>
      <c r="E27" s="266"/>
      <c r="F27" s="66"/>
      <c r="G27" s="1"/>
      <c r="H27" s="1"/>
      <c r="I27" s="1"/>
      <c r="J27" s="1"/>
      <c r="K27" s="1"/>
      <c r="L27" s="1"/>
      <c r="M27" s="1"/>
      <c r="N27" s="1"/>
    </row>
    <row r="28" spans="1:14" ht="21" x14ac:dyDescent="0.3">
      <c r="A28" s="3"/>
      <c r="B28" s="67" t="s">
        <v>18</v>
      </c>
      <c r="C28" s="25" t="s">
        <v>244</v>
      </c>
      <c r="D28" s="25" t="s">
        <v>245</v>
      </c>
      <c r="E28" s="25" t="s">
        <v>246</v>
      </c>
      <c r="F28" s="66"/>
      <c r="G28" s="1"/>
      <c r="H28" s="1"/>
      <c r="I28" s="1"/>
      <c r="J28" s="1"/>
      <c r="K28" s="1"/>
      <c r="L28" s="1"/>
      <c r="M28" s="1"/>
      <c r="N28" s="1"/>
    </row>
    <row r="29" spans="1:14" ht="20.7" customHeight="1" x14ac:dyDescent="0.3">
      <c r="A29" s="3"/>
      <c r="B29" s="68" t="s">
        <v>21</v>
      </c>
      <c r="C29" s="5">
        <v>1412.24</v>
      </c>
      <c r="D29" s="5">
        <v>1306.24</v>
      </c>
      <c r="E29" s="12">
        <v>1732.73</v>
      </c>
      <c r="F29" s="66"/>
      <c r="G29" s="1"/>
      <c r="H29" s="1"/>
      <c r="I29" s="1"/>
      <c r="J29" s="1"/>
      <c r="K29" s="1"/>
      <c r="L29" s="1"/>
      <c r="M29" s="1"/>
      <c r="N29" s="1"/>
    </row>
    <row r="30" spans="1:14" ht="21" x14ac:dyDescent="0.3">
      <c r="A30" s="3"/>
      <c r="B30" s="68" t="s">
        <v>23</v>
      </c>
      <c r="C30" s="5">
        <v>228.35</v>
      </c>
      <c r="D30" s="5">
        <v>235.54</v>
      </c>
      <c r="E30" s="223">
        <v>244.03</v>
      </c>
      <c r="F30" s="66"/>
      <c r="G30" s="1"/>
      <c r="H30" s="1"/>
      <c r="I30" s="1"/>
      <c r="J30" s="1"/>
      <c r="K30" s="1"/>
      <c r="L30" s="1"/>
      <c r="M30" s="1"/>
      <c r="N30" s="1"/>
    </row>
    <row r="31" spans="1:14" ht="21" x14ac:dyDescent="0.3">
      <c r="A31" s="3"/>
      <c r="B31" s="68" t="s">
        <v>24</v>
      </c>
      <c r="C31" s="5">
        <v>2473.0700000000002</v>
      </c>
      <c r="D31" s="5">
        <v>2473.0700000000002</v>
      </c>
      <c r="E31" s="5">
        <v>2473.0700000000002</v>
      </c>
      <c r="F31" s="66"/>
      <c r="G31" s="1"/>
      <c r="H31" s="57"/>
      <c r="I31" s="1"/>
      <c r="J31" s="1"/>
      <c r="K31" s="1"/>
      <c r="L31" s="1"/>
      <c r="M31" s="1"/>
      <c r="N31" s="1"/>
    </row>
    <row r="32" spans="1:14" ht="21" x14ac:dyDescent="0.3">
      <c r="A32" s="3"/>
      <c r="B32" s="68" t="s">
        <v>25</v>
      </c>
      <c r="C32" s="5">
        <v>3157</v>
      </c>
      <c r="D32" s="5">
        <v>3392.54</v>
      </c>
      <c r="E32" s="130">
        <v>3636.57</v>
      </c>
      <c r="F32" s="66"/>
      <c r="G32" s="1"/>
      <c r="H32" s="1"/>
      <c r="I32" s="1"/>
      <c r="J32" s="1"/>
      <c r="K32" s="1"/>
      <c r="L32" s="1"/>
      <c r="M32" s="1"/>
      <c r="N32" s="1"/>
    </row>
    <row r="33" spans="1:14" ht="21" x14ac:dyDescent="0.3">
      <c r="A33" s="3"/>
      <c r="B33" s="253" t="s">
        <v>800</v>
      </c>
      <c r="C33" s="270"/>
      <c r="D33" s="270"/>
      <c r="E33" s="254"/>
      <c r="F33" s="66"/>
      <c r="G33" s="1"/>
      <c r="H33" s="1"/>
      <c r="I33" s="1"/>
      <c r="J33" s="1"/>
      <c r="K33" s="1"/>
      <c r="L33" s="1"/>
      <c r="M33" s="1"/>
      <c r="N33" s="1"/>
    </row>
    <row r="34" spans="1:14" ht="21" x14ac:dyDescent="0.3">
      <c r="A34" s="3"/>
      <c r="B34" s="10"/>
      <c r="C34" s="66"/>
      <c r="D34" s="66"/>
      <c r="E34" s="66"/>
      <c r="F34" s="66"/>
      <c r="G34" s="1"/>
      <c r="H34" s="1"/>
      <c r="I34" s="1"/>
      <c r="J34" s="1"/>
      <c r="K34" s="1"/>
      <c r="L34" s="1"/>
      <c r="M34" s="1"/>
      <c r="N34" s="1"/>
    </row>
    <row r="35" spans="1:14" ht="41.7" customHeight="1" x14ac:dyDescent="0.3">
      <c r="A35" s="3">
        <v>7</v>
      </c>
      <c r="B35" s="261" t="s">
        <v>26</v>
      </c>
      <c r="C35" s="262"/>
      <c r="D35" s="262"/>
      <c r="E35" s="263"/>
      <c r="F35" s="2"/>
      <c r="G35" s="2"/>
      <c r="H35" s="2"/>
      <c r="I35" s="2"/>
      <c r="J35" s="2"/>
      <c r="K35" s="1"/>
      <c r="L35" s="1"/>
      <c r="M35" s="1"/>
      <c r="N35" s="1"/>
    </row>
    <row r="36" spans="1:14" ht="21" x14ac:dyDescent="0.3">
      <c r="A36" s="3"/>
      <c r="B36" s="67" t="s">
        <v>247</v>
      </c>
      <c r="C36" s="27" t="s">
        <v>455</v>
      </c>
      <c r="D36" s="5"/>
      <c r="E36" s="5"/>
      <c r="F36" s="10"/>
      <c r="G36" s="1"/>
      <c r="H36" s="1"/>
      <c r="I36" s="1"/>
      <c r="J36" s="1"/>
      <c r="K36" s="1"/>
      <c r="L36" s="1"/>
      <c r="M36" s="1"/>
      <c r="N36" s="1"/>
    </row>
    <row r="37" spans="1:14" ht="21" x14ac:dyDescent="0.3">
      <c r="A37" s="3"/>
      <c r="B37" s="67" t="s">
        <v>28</v>
      </c>
      <c r="C37" s="27" t="s">
        <v>93</v>
      </c>
      <c r="D37" s="10"/>
      <c r="E37" s="10"/>
      <c r="F37" s="10"/>
      <c r="G37" s="1"/>
      <c r="H37" s="1"/>
      <c r="I37" s="1"/>
      <c r="J37" s="1"/>
      <c r="K37" s="1"/>
      <c r="L37" s="1"/>
      <c r="M37" s="1"/>
      <c r="N37" s="1"/>
    </row>
    <row r="38" spans="1:14" ht="21" x14ac:dyDescent="0.3">
      <c r="A38" s="3"/>
      <c r="B38" s="67" t="s">
        <v>29</v>
      </c>
      <c r="C38" s="27" t="s">
        <v>93</v>
      </c>
      <c r="D38" s="10"/>
      <c r="E38" s="10"/>
      <c r="F38" s="10"/>
      <c r="G38" s="1"/>
      <c r="H38" s="1"/>
      <c r="I38" s="1"/>
      <c r="J38" s="1"/>
      <c r="K38" s="1"/>
      <c r="L38" s="1"/>
      <c r="M38" s="1"/>
      <c r="N38" s="1"/>
    </row>
    <row r="39" spans="1:14" ht="42" customHeight="1" x14ac:dyDescent="0.3">
      <c r="A39" s="3"/>
      <c r="B39" s="271" t="s">
        <v>366</v>
      </c>
      <c r="C39" s="271"/>
      <c r="D39" s="271"/>
      <c r="E39" s="10"/>
      <c r="F39" s="10"/>
      <c r="G39" s="1"/>
      <c r="H39" s="1"/>
      <c r="I39" s="1"/>
      <c r="J39" s="1"/>
      <c r="K39" s="1"/>
      <c r="L39" s="1"/>
      <c r="M39" s="1"/>
      <c r="N39" s="1"/>
    </row>
    <row r="40" spans="1:14" ht="21" x14ac:dyDescent="0.3">
      <c r="A40" s="3"/>
      <c r="B40" s="66"/>
      <c r="C40" s="10"/>
      <c r="D40" s="10"/>
      <c r="E40" s="10"/>
      <c r="F40" s="10"/>
      <c r="G40" s="1"/>
      <c r="H40" s="1"/>
      <c r="I40" s="1"/>
      <c r="J40" s="1"/>
      <c r="K40" s="1"/>
      <c r="L40" s="1"/>
      <c r="M40" s="1"/>
      <c r="N40" s="1"/>
    </row>
    <row r="41" spans="1:14" ht="21" x14ac:dyDescent="0.3">
      <c r="A41" s="3">
        <v>8</v>
      </c>
      <c r="B41" s="261" t="s">
        <v>30</v>
      </c>
      <c r="C41" s="262"/>
      <c r="D41" s="262"/>
      <c r="E41" s="263"/>
      <c r="F41" s="2"/>
      <c r="G41" s="2"/>
      <c r="H41" s="2"/>
      <c r="I41" s="2"/>
      <c r="J41" s="2"/>
      <c r="K41" s="1"/>
      <c r="L41" s="1"/>
      <c r="M41" s="1"/>
      <c r="N41" s="1"/>
    </row>
    <row r="42" spans="1:14" ht="21" x14ac:dyDescent="0.3">
      <c r="A42" s="3"/>
      <c r="B42" s="67" t="s">
        <v>31</v>
      </c>
      <c r="C42" s="258" t="s">
        <v>11</v>
      </c>
      <c r="D42" s="259"/>
      <c r="E42" s="260"/>
      <c r="F42" s="10"/>
      <c r="G42" s="1"/>
      <c r="H42" s="1"/>
      <c r="I42" s="1"/>
      <c r="J42" s="1"/>
      <c r="K42" s="1"/>
      <c r="L42" s="1"/>
      <c r="M42" s="1"/>
      <c r="N42" s="1"/>
    </row>
    <row r="43" spans="1:14" ht="21" x14ac:dyDescent="0.3">
      <c r="A43" s="3"/>
      <c r="B43" s="67" t="s">
        <v>28</v>
      </c>
      <c r="C43" s="258" t="s">
        <v>911</v>
      </c>
      <c r="D43" s="259"/>
      <c r="E43" s="260"/>
      <c r="F43" s="10"/>
      <c r="G43" s="1"/>
      <c r="H43" s="1"/>
      <c r="I43" s="1"/>
      <c r="J43" s="1"/>
      <c r="K43" s="1"/>
      <c r="L43" s="1"/>
      <c r="M43" s="1"/>
      <c r="N43" s="1"/>
    </row>
    <row r="44" spans="1:14" ht="21" x14ac:dyDescent="0.3">
      <c r="A44" s="3"/>
      <c r="B44" s="67" t="s">
        <v>29</v>
      </c>
      <c r="C44" s="258" t="s">
        <v>15</v>
      </c>
      <c r="D44" s="259"/>
      <c r="E44" s="260"/>
      <c r="F44" s="10"/>
      <c r="G44" s="1"/>
      <c r="H44" s="1"/>
      <c r="I44" s="1"/>
      <c r="J44" s="1"/>
      <c r="K44" s="1"/>
      <c r="L44" s="1"/>
      <c r="M44" s="1"/>
      <c r="N44" s="1"/>
    </row>
    <row r="45" spans="1:14" ht="21" x14ac:dyDescent="0.3">
      <c r="A45" s="3"/>
      <c r="B45" s="253" t="s">
        <v>802</v>
      </c>
      <c r="C45" s="270"/>
      <c r="D45" s="270"/>
      <c r="E45" s="254"/>
      <c r="F45" s="10"/>
      <c r="G45" s="1"/>
      <c r="H45" s="1"/>
      <c r="I45" s="1"/>
      <c r="J45" s="1"/>
      <c r="K45" s="1"/>
      <c r="L45" s="1"/>
      <c r="M45" s="1"/>
      <c r="N45" s="1"/>
    </row>
    <row r="46" spans="1:14" ht="21" x14ac:dyDescent="0.3">
      <c r="A46" s="3"/>
      <c r="B46" s="1"/>
      <c r="C46" s="1"/>
      <c r="D46" s="22"/>
      <c r="E46" s="10"/>
      <c r="F46" s="1"/>
      <c r="G46" s="1"/>
      <c r="H46" s="1"/>
      <c r="I46" s="1"/>
      <c r="J46" s="1"/>
      <c r="K46" s="1"/>
      <c r="L46" s="1"/>
      <c r="M46" s="1"/>
      <c r="N46" s="1"/>
    </row>
    <row r="47" spans="1:14" ht="83.4" customHeight="1" x14ac:dyDescent="0.3">
      <c r="A47" s="191">
        <v>9</v>
      </c>
      <c r="B47" s="262" t="s">
        <v>32</v>
      </c>
      <c r="C47" s="262"/>
      <c r="D47" s="262"/>
      <c r="E47" s="263"/>
      <c r="F47" s="2"/>
      <c r="G47" s="2"/>
      <c r="H47" s="2"/>
      <c r="I47" s="2"/>
      <c r="J47" s="1"/>
      <c r="K47" s="1"/>
      <c r="L47" s="1"/>
      <c r="M47" s="1"/>
      <c r="N47" s="1"/>
    </row>
    <row r="48" spans="1:14" ht="81.599999999999994" x14ac:dyDescent="0.3">
      <c r="A48" s="191"/>
      <c r="B48" s="24" t="s">
        <v>33</v>
      </c>
      <c r="C48" s="25" t="s">
        <v>34</v>
      </c>
      <c r="D48" s="25" t="s">
        <v>96</v>
      </c>
      <c r="E48" s="25" t="s">
        <v>35</v>
      </c>
      <c r="F48" s="1"/>
      <c r="G48" s="1"/>
      <c r="H48" s="1"/>
      <c r="I48" s="1"/>
      <c r="J48" s="1"/>
      <c r="K48" s="1"/>
      <c r="L48" s="1"/>
      <c r="M48" s="1"/>
      <c r="N48" s="1"/>
    </row>
    <row r="49" spans="1:14" ht="166.2" customHeight="1" x14ac:dyDescent="0.3">
      <c r="A49" s="191"/>
      <c r="B49" s="189" t="s">
        <v>355</v>
      </c>
      <c r="C49" s="27" t="s">
        <v>356</v>
      </c>
      <c r="D49" s="27" t="s">
        <v>356</v>
      </c>
      <c r="E49" s="27" t="s">
        <v>121</v>
      </c>
      <c r="F49" s="1"/>
      <c r="G49" s="1"/>
      <c r="H49" s="1"/>
      <c r="I49" s="1"/>
      <c r="J49" s="1"/>
      <c r="K49" s="1"/>
      <c r="L49" s="1"/>
      <c r="M49" s="1"/>
      <c r="N49" s="1"/>
    </row>
    <row r="50" spans="1:14" ht="21" x14ac:dyDescent="0.3">
      <c r="A50" s="191"/>
      <c r="B50" s="270"/>
      <c r="C50" s="270"/>
      <c r="D50" s="270"/>
      <c r="E50" s="254"/>
      <c r="F50" s="1"/>
      <c r="G50" s="1"/>
      <c r="H50" s="1"/>
      <c r="I50" s="1"/>
      <c r="J50" s="1"/>
      <c r="K50" s="1"/>
      <c r="L50" s="1"/>
      <c r="M50" s="1"/>
      <c r="N50" s="1"/>
    </row>
    <row r="51" spans="1:14" ht="21" hidden="1" x14ac:dyDescent="0.3">
      <c r="A51" s="191"/>
      <c r="B51" s="103" t="s">
        <v>748</v>
      </c>
      <c r="C51" s="87"/>
      <c r="D51" s="87"/>
      <c r="E51" s="87"/>
      <c r="F51" s="1"/>
      <c r="G51" s="1"/>
      <c r="H51" s="1"/>
      <c r="I51" s="1"/>
      <c r="J51" s="1"/>
      <c r="K51" s="1"/>
      <c r="L51" s="1"/>
      <c r="M51" s="1"/>
      <c r="N51" s="1"/>
    </row>
    <row r="52" spans="1:14" ht="21" x14ac:dyDescent="0.3">
      <c r="A52" s="191"/>
      <c r="B52" s="28"/>
      <c r="C52" s="22"/>
      <c r="D52" s="22"/>
      <c r="E52" s="22"/>
      <c r="F52" s="66"/>
      <c r="G52" s="66"/>
      <c r="H52" s="66"/>
      <c r="I52" s="66"/>
      <c r="J52" s="1"/>
      <c r="K52" s="1"/>
      <c r="L52" s="1"/>
      <c r="M52" s="1"/>
      <c r="N52" s="1"/>
    </row>
    <row r="53" spans="1:14" ht="43.2" customHeight="1" x14ac:dyDescent="0.3">
      <c r="A53" s="191">
        <v>10</v>
      </c>
      <c r="B53" s="262" t="s">
        <v>32</v>
      </c>
      <c r="C53" s="262"/>
      <c r="D53" s="262"/>
      <c r="E53" s="263"/>
      <c r="F53" s="66"/>
      <c r="G53" s="66"/>
      <c r="H53" s="66"/>
      <c r="I53" s="1"/>
      <c r="J53" s="1"/>
      <c r="K53" s="1"/>
      <c r="L53" s="1"/>
      <c r="M53" s="1"/>
      <c r="N53" s="1"/>
    </row>
    <row r="54" spans="1:14" ht="21" x14ac:dyDescent="0.3">
      <c r="A54" s="191"/>
      <c r="B54" s="275" t="s">
        <v>36</v>
      </c>
      <c r="C54" s="277" t="s">
        <v>357</v>
      </c>
      <c r="D54" s="278"/>
      <c r="E54" s="279"/>
      <c r="F54" s="1"/>
      <c r="G54" s="1"/>
      <c r="H54" s="1"/>
      <c r="I54" s="1"/>
      <c r="J54" s="1"/>
      <c r="K54" s="2"/>
      <c r="L54" s="1"/>
      <c r="M54" s="1"/>
      <c r="N54" s="1"/>
    </row>
    <row r="55" spans="1:14" ht="100.2" customHeight="1" x14ac:dyDescent="0.3">
      <c r="A55" s="191"/>
      <c r="B55" s="276"/>
      <c r="C55" s="280"/>
      <c r="D55" s="281"/>
      <c r="E55" s="282"/>
      <c r="F55" s="1"/>
      <c r="G55" s="1"/>
      <c r="H55" s="1"/>
      <c r="I55" s="1"/>
      <c r="J55" s="1"/>
      <c r="K55" s="2"/>
      <c r="L55" s="1"/>
      <c r="M55" s="1"/>
      <c r="N55" s="1"/>
    </row>
    <row r="56" spans="1:14" ht="123.6" customHeight="1" x14ac:dyDescent="0.3">
      <c r="A56" s="191"/>
      <c r="B56" s="29" t="s">
        <v>37</v>
      </c>
      <c r="C56" s="283" t="s">
        <v>554</v>
      </c>
      <c r="D56" s="284"/>
      <c r="E56" s="285"/>
      <c r="F56" s="1"/>
      <c r="G56" s="1"/>
      <c r="H56" s="1"/>
      <c r="I56" s="1"/>
      <c r="J56" s="1"/>
      <c r="K56" s="1"/>
      <c r="L56" s="1"/>
      <c r="M56" s="1"/>
      <c r="N56" s="1"/>
    </row>
    <row r="57" spans="1:14" ht="21" x14ac:dyDescent="0.3">
      <c r="A57" s="191"/>
      <c r="B57" s="29" t="s">
        <v>38</v>
      </c>
      <c r="C57" s="286" t="s">
        <v>121</v>
      </c>
      <c r="D57" s="287"/>
      <c r="E57" s="288"/>
      <c r="F57" s="1"/>
      <c r="G57" s="1"/>
      <c r="H57" s="1"/>
      <c r="I57" s="1"/>
      <c r="J57" s="1"/>
      <c r="K57" s="30"/>
      <c r="L57" s="1"/>
      <c r="M57" s="1"/>
      <c r="N57" s="1"/>
    </row>
    <row r="58" spans="1:14" ht="21" x14ac:dyDescent="0.4">
      <c r="A58" s="111" t="s">
        <v>39</v>
      </c>
      <c r="B58" s="290" t="s">
        <v>763</v>
      </c>
      <c r="C58" s="290"/>
      <c r="D58" s="290"/>
      <c r="E58" s="291"/>
      <c r="F58" s="32"/>
      <c r="G58" s="32"/>
      <c r="H58" s="32"/>
      <c r="I58" s="32"/>
      <c r="J58" s="32"/>
      <c r="K58" s="32"/>
      <c r="L58" s="32"/>
      <c r="M58" s="32"/>
      <c r="N58" s="32"/>
    </row>
    <row r="59" spans="1:14" ht="21" x14ac:dyDescent="0.3">
      <c r="A59" s="71"/>
      <c r="B59" s="72"/>
      <c r="C59" s="73"/>
      <c r="D59" s="73"/>
      <c r="E59" s="73"/>
      <c r="F59" s="73"/>
      <c r="G59" s="1"/>
      <c r="H59" s="1"/>
      <c r="I59" s="1"/>
      <c r="J59" s="1"/>
      <c r="K59" s="1"/>
      <c r="L59" s="1"/>
      <c r="M59" s="1"/>
      <c r="N59" s="1"/>
    </row>
    <row r="60" spans="1:14" ht="21" x14ac:dyDescent="0.3">
      <c r="A60" s="3">
        <v>11</v>
      </c>
      <c r="B60" s="54" t="s">
        <v>41</v>
      </c>
      <c r="C60" s="270" t="s">
        <v>121</v>
      </c>
      <c r="D60" s="270"/>
      <c r="E60" s="270"/>
      <c r="F60" s="2"/>
      <c r="G60" s="2"/>
      <c r="H60" s="74"/>
      <c r="I60" s="2"/>
      <c r="J60" s="2"/>
      <c r="K60" s="1"/>
      <c r="L60" s="1"/>
      <c r="M60" s="1"/>
      <c r="N60" s="1"/>
    </row>
    <row r="61" spans="1:14" ht="20.7" customHeight="1" x14ac:dyDescent="0.3">
      <c r="A61" s="3"/>
      <c r="B61" s="66"/>
      <c r="C61" s="270"/>
      <c r="D61" s="270"/>
      <c r="E61" s="270"/>
      <c r="F61" s="66"/>
      <c r="G61" s="66"/>
      <c r="H61" s="75"/>
      <c r="I61" s="75"/>
      <c r="J61" s="66"/>
      <c r="K61" s="1"/>
      <c r="L61" s="1"/>
      <c r="M61" s="1"/>
      <c r="N61" s="1"/>
    </row>
    <row r="62" spans="1:14" ht="21" x14ac:dyDescent="0.3">
      <c r="A62" s="76">
        <v>12</v>
      </c>
      <c r="B62" s="77" t="s">
        <v>42</v>
      </c>
      <c r="C62" s="272"/>
      <c r="D62" s="273"/>
      <c r="E62" s="274"/>
      <c r="F62" s="78"/>
      <c r="G62" s="79"/>
      <c r="H62" s="79"/>
      <c r="I62" s="79"/>
      <c r="J62" s="79"/>
      <c r="K62" s="79"/>
      <c r="L62" s="79"/>
      <c r="M62" s="79"/>
      <c r="N62" s="79"/>
    </row>
    <row r="63" spans="1:14" ht="20.399999999999999" x14ac:dyDescent="0.3">
      <c r="A63" s="3"/>
      <c r="B63" s="2"/>
      <c r="C63" s="2"/>
      <c r="D63" s="2"/>
      <c r="E63" s="74"/>
      <c r="F63" s="74"/>
      <c r="G63" s="74"/>
      <c r="H63" s="2"/>
      <c r="I63" s="2"/>
      <c r="J63" s="2"/>
      <c r="K63" s="2"/>
      <c r="L63" s="2"/>
      <c r="M63" s="2"/>
      <c r="N63" s="2"/>
    </row>
    <row r="64" spans="1:14" ht="21" x14ac:dyDescent="0.3">
      <c r="A64" s="3"/>
      <c r="B64" s="67" t="s">
        <v>43</v>
      </c>
      <c r="C64" s="68" t="s">
        <v>358</v>
      </c>
      <c r="D64" s="66"/>
      <c r="E64" s="66"/>
      <c r="F64" s="75"/>
      <c r="G64" s="75"/>
      <c r="H64" s="66"/>
      <c r="I64" s="66"/>
      <c r="J64" s="66"/>
      <c r="K64" s="66"/>
      <c r="L64" s="66"/>
      <c r="M64" s="66"/>
      <c r="N64" s="66"/>
    </row>
    <row r="65" spans="1:14" ht="20.399999999999999" x14ac:dyDescent="0.3">
      <c r="A65" s="3"/>
      <c r="B65" s="66"/>
      <c r="C65" s="66"/>
      <c r="D65" s="66"/>
      <c r="E65" s="66"/>
      <c r="F65" s="66"/>
      <c r="G65" s="66"/>
      <c r="H65" s="66"/>
      <c r="I65" s="66"/>
      <c r="J65" s="66"/>
      <c r="K65" s="66"/>
      <c r="L65" s="66"/>
      <c r="M65" s="66"/>
      <c r="N65" s="66"/>
    </row>
    <row r="66" spans="1:14" ht="87.6" customHeight="1" x14ac:dyDescent="0.3">
      <c r="A66" s="3"/>
      <c r="B66" s="295" t="s">
        <v>44</v>
      </c>
      <c r="C66" s="295" t="s">
        <v>359</v>
      </c>
      <c r="D66" s="295" t="s">
        <v>68</v>
      </c>
      <c r="E66" s="297" t="s">
        <v>45</v>
      </c>
      <c r="F66" s="292" t="s">
        <v>254</v>
      </c>
      <c r="G66" s="293"/>
      <c r="H66" s="294"/>
      <c r="I66" s="292" t="s">
        <v>255</v>
      </c>
      <c r="J66" s="293"/>
      <c r="K66" s="294"/>
      <c r="L66" s="292" t="s">
        <v>197</v>
      </c>
      <c r="M66" s="293"/>
      <c r="N66" s="294"/>
    </row>
    <row r="67" spans="1:14" ht="61.2" x14ac:dyDescent="0.3">
      <c r="A67" s="3"/>
      <c r="B67" s="296"/>
      <c r="C67" s="296"/>
      <c r="D67" s="296"/>
      <c r="E67" s="298"/>
      <c r="F67" s="67" t="s">
        <v>46</v>
      </c>
      <c r="G67" s="67" t="s">
        <v>47</v>
      </c>
      <c r="H67" s="67" t="s">
        <v>48</v>
      </c>
      <c r="I67" s="67" t="s">
        <v>49</v>
      </c>
      <c r="J67" s="67" t="s">
        <v>47</v>
      </c>
      <c r="K67" s="67" t="s">
        <v>48</v>
      </c>
      <c r="L67" s="67" t="s">
        <v>49</v>
      </c>
      <c r="M67" s="67" t="s">
        <v>47</v>
      </c>
      <c r="N67" s="67" t="s">
        <v>48</v>
      </c>
    </row>
    <row r="68" spans="1:14" ht="105" customHeight="1" x14ac:dyDescent="0.3">
      <c r="A68" s="3"/>
      <c r="B68" s="67" t="s">
        <v>803</v>
      </c>
      <c r="C68" s="81">
        <v>58.8</v>
      </c>
      <c r="D68" s="82">
        <v>62.4</v>
      </c>
      <c r="E68" s="82">
        <v>51.85</v>
      </c>
      <c r="F68" s="121">
        <v>52</v>
      </c>
      <c r="G68" s="121">
        <v>73.849999999999994</v>
      </c>
      <c r="H68" s="121">
        <v>45.25</v>
      </c>
      <c r="I68" s="121">
        <v>51.95</v>
      </c>
      <c r="J68" s="121">
        <v>91.7</v>
      </c>
      <c r="K68" s="121">
        <v>47.75</v>
      </c>
      <c r="L68" s="121">
        <v>46.5</v>
      </c>
      <c r="M68" s="121">
        <v>74</v>
      </c>
      <c r="N68" s="121">
        <v>43.95</v>
      </c>
    </row>
    <row r="69" spans="1:14" ht="40.799999999999997" x14ac:dyDescent="0.3">
      <c r="A69" s="3"/>
      <c r="B69" s="69" t="s">
        <v>67</v>
      </c>
      <c r="C69" s="81">
        <v>22032.3</v>
      </c>
      <c r="D69" s="82">
        <v>21840.05</v>
      </c>
      <c r="E69" s="82">
        <v>22272.5</v>
      </c>
      <c r="F69" s="121">
        <v>22326.9</v>
      </c>
      <c r="G69" s="81">
        <v>22526.6</v>
      </c>
      <c r="H69" s="121">
        <v>17312.75</v>
      </c>
      <c r="I69" s="121">
        <v>23519.35</v>
      </c>
      <c r="J69" s="121">
        <v>26277.35</v>
      </c>
      <c r="K69" s="121">
        <v>21281.45</v>
      </c>
      <c r="L69" s="121">
        <v>22331.4</v>
      </c>
      <c r="M69" s="121">
        <v>26373.200000000001</v>
      </c>
      <c r="N69" s="121">
        <v>21743.65</v>
      </c>
    </row>
    <row r="70" spans="1:14" ht="20.25" customHeight="1" x14ac:dyDescent="0.3">
      <c r="A70" s="3"/>
      <c r="B70" s="253" t="s">
        <v>99</v>
      </c>
      <c r="C70" s="270"/>
      <c r="D70" s="270"/>
      <c r="E70" s="270"/>
      <c r="F70" s="270"/>
      <c r="G70" s="270"/>
      <c r="H70" s="270"/>
      <c r="I70" s="270"/>
      <c r="J70" s="270"/>
      <c r="K70" s="270"/>
      <c r="L70" s="270"/>
      <c r="M70" s="270"/>
      <c r="N70" s="254"/>
    </row>
    <row r="71" spans="1:14" ht="20.25" customHeight="1" x14ac:dyDescent="0.3">
      <c r="A71" s="3"/>
      <c r="B71" s="253" t="s">
        <v>84</v>
      </c>
      <c r="C71" s="270"/>
      <c r="D71" s="270"/>
      <c r="E71" s="270"/>
      <c r="F71" s="254"/>
      <c r="G71" s="83"/>
      <c r="H71" s="83"/>
      <c r="I71" s="83"/>
      <c r="J71" s="83"/>
      <c r="K71" s="83"/>
      <c r="L71" s="83"/>
      <c r="M71" s="83"/>
      <c r="N71" s="83"/>
    </row>
    <row r="72" spans="1:14" ht="43.8" customHeight="1" x14ac:dyDescent="0.3">
      <c r="A72" s="3"/>
      <c r="B72" s="253" t="s">
        <v>950</v>
      </c>
      <c r="C72" s="270"/>
      <c r="D72" s="270"/>
      <c r="E72" s="270"/>
      <c r="F72" s="254"/>
      <c r="G72" s="83"/>
      <c r="H72" s="83"/>
      <c r="I72" s="83"/>
      <c r="J72" s="83"/>
      <c r="K72" s="83"/>
      <c r="L72" s="83"/>
      <c r="M72" s="83"/>
      <c r="N72" s="83"/>
    </row>
    <row r="73" spans="1:14" ht="21" x14ac:dyDescent="0.3">
      <c r="A73" s="3"/>
      <c r="B73" s="253" t="s">
        <v>71</v>
      </c>
      <c r="C73" s="270"/>
      <c r="D73" s="270"/>
      <c r="E73" s="270"/>
      <c r="F73" s="254"/>
      <c r="G73" s="83"/>
      <c r="H73" s="83"/>
      <c r="I73" s="83"/>
      <c r="J73" s="83"/>
      <c r="K73" s="83"/>
      <c r="L73" s="83"/>
      <c r="M73" s="83"/>
      <c r="N73" s="83"/>
    </row>
    <row r="74" spans="1:14" ht="20.25" hidden="1" customHeight="1" x14ac:dyDescent="0.3">
      <c r="A74" s="3"/>
      <c r="B74" s="270" t="s">
        <v>641</v>
      </c>
      <c r="C74" s="270"/>
      <c r="D74" s="84"/>
      <c r="E74" s="84"/>
      <c r="F74" s="84"/>
      <c r="G74" s="10"/>
      <c r="H74" s="10"/>
      <c r="I74" s="10"/>
      <c r="J74" s="10"/>
      <c r="K74" s="10"/>
      <c r="L74" s="10"/>
      <c r="M74" s="10"/>
      <c r="N74" s="10"/>
    </row>
    <row r="75" spans="1:14" ht="39" customHeight="1" x14ac:dyDescent="0.3">
      <c r="A75" s="3">
        <v>13</v>
      </c>
      <c r="B75" s="261" t="s">
        <v>51</v>
      </c>
      <c r="C75" s="262"/>
      <c r="D75" s="262"/>
      <c r="E75" s="262"/>
      <c r="F75" s="262"/>
      <c r="G75" s="263"/>
      <c r="H75" s="2"/>
      <c r="I75" s="2"/>
      <c r="J75" s="2"/>
      <c r="K75" s="2"/>
      <c r="L75" s="2"/>
      <c r="M75" s="2"/>
      <c r="N75" s="2"/>
    </row>
    <row r="76" spans="1:14" ht="21" x14ac:dyDescent="0.3">
      <c r="A76" s="3"/>
      <c r="B76" s="5"/>
      <c r="C76" s="67"/>
      <c r="D76" s="67"/>
      <c r="E76" s="67"/>
      <c r="F76" s="67"/>
      <c r="G76" s="67"/>
      <c r="H76" s="66"/>
      <c r="I76" s="66"/>
      <c r="J76" s="66"/>
      <c r="K76" s="66"/>
      <c r="L76" s="66"/>
      <c r="M76" s="66"/>
      <c r="N76" s="66"/>
    </row>
    <row r="77" spans="1:14" ht="61.2" x14ac:dyDescent="0.3">
      <c r="A77" s="3"/>
      <c r="B77" s="25" t="s">
        <v>52</v>
      </c>
      <c r="C77" s="25" t="s">
        <v>53</v>
      </c>
      <c r="D77" s="25" t="s">
        <v>603</v>
      </c>
      <c r="E77" s="25" t="s">
        <v>54</v>
      </c>
      <c r="F77" s="25" t="s">
        <v>55</v>
      </c>
      <c r="G77" s="25" t="s">
        <v>56</v>
      </c>
      <c r="H77" s="10"/>
      <c r="I77" s="10"/>
      <c r="J77" s="10"/>
      <c r="K77" s="10"/>
      <c r="L77" s="10"/>
      <c r="M77" s="10"/>
      <c r="N77" s="10"/>
    </row>
    <row r="78" spans="1:14" ht="21" customHeight="1" x14ac:dyDescent="0.3">
      <c r="A78" s="3"/>
      <c r="B78" s="310" t="s">
        <v>72</v>
      </c>
      <c r="C78" s="54" t="s">
        <v>671</v>
      </c>
      <c r="D78" s="134">
        <v>1.1499999999999999</v>
      </c>
      <c r="E78" s="88">
        <v>1.17</v>
      </c>
      <c r="F78" s="88">
        <v>0.95</v>
      </c>
      <c r="G78" s="88">
        <v>0.99</v>
      </c>
      <c r="H78" s="1"/>
      <c r="I78" s="1"/>
      <c r="J78" s="1"/>
      <c r="K78" s="1"/>
      <c r="L78" s="1"/>
      <c r="M78" s="1"/>
      <c r="N78" s="1"/>
    </row>
    <row r="79" spans="1:14" ht="21" customHeight="1" x14ac:dyDescent="0.3">
      <c r="A79" s="3"/>
      <c r="B79" s="310"/>
      <c r="C79" s="54" t="s">
        <v>237</v>
      </c>
      <c r="D79" s="135"/>
      <c r="E79" s="88"/>
      <c r="F79" s="88"/>
      <c r="G79" s="88"/>
      <c r="H79" s="1"/>
      <c r="I79" s="1"/>
      <c r="J79" s="1"/>
      <c r="K79" s="1"/>
      <c r="L79" s="1"/>
      <c r="M79" s="1"/>
      <c r="N79" s="1"/>
    </row>
    <row r="80" spans="1:14" ht="21" customHeight="1" x14ac:dyDescent="0.3">
      <c r="A80" s="3"/>
      <c r="B80" s="310"/>
      <c r="C80" s="5" t="s">
        <v>672</v>
      </c>
      <c r="D80" s="135">
        <v>37.18</v>
      </c>
      <c r="E80" s="88">
        <v>15.11</v>
      </c>
      <c r="F80" s="88">
        <v>17.23</v>
      </c>
      <c r="G80" s="88">
        <v>20.04</v>
      </c>
      <c r="H80" s="1"/>
      <c r="I80" s="1"/>
      <c r="J80" s="1"/>
      <c r="K80" s="1"/>
      <c r="L80" s="1"/>
      <c r="M80" s="1"/>
      <c r="N80" s="1"/>
    </row>
    <row r="81" spans="1:14" ht="21" customHeight="1" x14ac:dyDescent="0.3">
      <c r="A81" s="3"/>
      <c r="B81" s="310"/>
      <c r="C81" s="5" t="s">
        <v>673</v>
      </c>
      <c r="D81" s="135">
        <v>110.47</v>
      </c>
      <c r="E81" s="88">
        <v>195</v>
      </c>
      <c r="F81" s="88">
        <v>49.67</v>
      </c>
      <c r="G81" s="88">
        <v>53.91</v>
      </c>
      <c r="H81" s="1"/>
      <c r="I81" s="1"/>
      <c r="J81" s="1"/>
      <c r="K81" s="1"/>
      <c r="L81" s="1"/>
      <c r="M81" s="1"/>
      <c r="N81" s="1"/>
    </row>
    <row r="82" spans="1:14" ht="21" customHeight="1" x14ac:dyDescent="0.3">
      <c r="A82" s="3"/>
      <c r="B82" s="310"/>
      <c r="C82" s="5" t="s">
        <v>674</v>
      </c>
      <c r="D82" s="135">
        <v>27.01</v>
      </c>
      <c r="E82" s="88">
        <v>21.47</v>
      </c>
      <c r="F82" s="88">
        <v>19.34</v>
      </c>
      <c r="G82" s="88">
        <v>18.63</v>
      </c>
      <c r="H82" s="1"/>
      <c r="I82" s="1"/>
      <c r="J82" s="1"/>
      <c r="K82" s="1"/>
      <c r="L82" s="1"/>
      <c r="M82" s="1"/>
      <c r="N82" s="1"/>
    </row>
    <row r="83" spans="1:14" ht="21" customHeight="1" x14ac:dyDescent="0.3">
      <c r="A83" s="3"/>
      <c r="B83" s="310"/>
      <c r="C83" s="5" t="s">
        <v>364</v>
      </c>
      <c r="D83" s="135">
        <v>22.02</v>
      </c>
      <c r="E83" s="88">
        <v>28.06</v>
      </c>
      <c r="F83" s="88">
        <v>31.64</v>
      </c>
      <c r="G83" s="88">
        <v>37.799999999999997</v>
      </c>
      <c r="H83" s="1"/>
      <c r="I83" s="1"/>
      <c r="J83" s="1"/>
      <c r="K83" s="1"/>
      <c r="L83" s="1"/>
      <c r="M83" s="1"/>
      <c r="N83" s="1"/>
    </row>
    <row r="84" spans="1:14" ht="21" customHeight="1" x14ac:dyDescent="0.3">
      <c r="A84" s="3"/>
      <c r="B84" s="310"/>
      <c r="C84" s="5" t="s">
        <v>675</v>
      </c>
      <c r="D84" s="135">
        <v>5.69</v>
      </c>
      <c r="E84" s="88">
        <v>13.39</v>
      </c>
      <c r="F84" s="88">
        <v>15.68</v>
      </c>
      <c r="G84" s="88">
        <v>9.1300000000000008</v>
      </c>
      <c r="H84" s="1"/>
      <c r="I84" s="1"/>
      <c r="J84" s="1"/>
      <c r="K84" s="1"/>
      <c r="L84" s="1"/>
      <c r="M84" s="1"/>
      <c r="N84" s="1"/>
    </row>
    <row r="85" spans="1:14" ht="21" customHeight="1" x14ac:dyDescent="0.3">
      <c r="A85" s="3"/>
      <c r="B85" s="310"/>
      <c r="C85" s="54" t="s">
        <v>295</v>
      </c>
      <c r="D85" s="140">
        <f>AVERAGE(D80:D84)</f>
        <v>40.474000000000004</v>
      </c>
      <c r="E85" s="116">
        <v>54.6</v>
      </c>
      <c r="F85" s="157">
        <f>AVERAGE(F80:F84)</f>
        <v>26.712</v>
      </c>
      <c r="G85" s="157">
        <f>AVERAGE(G80:G84)</f>
        <v>27.901999999999997</v>
      </c>
      <c r="H85" s="1"/>
      <c r="I85" s="1"/>
      <c r="J85" s="1"/>
      <c r="K85" s="1"/>
      <c r="L85" s="1"/>
      <c r="M85" s="1"/>
      <c r="N85" s="1"/>
    </row>
    <row r="86" spans="1:14" ht="21" x14ac:dyDescent="0.3">
      <c r="A86" s="3"/>
      <c r="B86" s="310" t="s">
        <v>59</v>
      </c>
      <c r="C86" s="54" t="s">
        <v>360</v>
      </c>
      <c r="D86" s="135">
        <v>44.34</v>
      </c>
      <c r="E86" s="88">
        <v>44.44</v>
      </c>
      <c r="F86" s="90">
        <v>54.684210526315795</v>
      </c>
      <c r="G86" s="90">
        <v>46.969696969696969</v>
      </c>
      <c r="H86" s="1"/>
      <c r="I86" s="1"/>
      <c r="J86" s="1"/>
      <c r="K86" s="1"/>
      <c r="L86" s="1"/>
      <c r="M86" s="1"/>
      <c r="N86" s="1"/>
    </row>
    <row r="87" spans="1:14" ht="21" x14ac:dyDescent="0.3">
      <c r="A87" s="3"/>
      <c r="B87" s="310"/>
      <c r="C87" s="54" t="s">
        <v>237</v>
      </c>
      <c r="D87" s="135"/>
      <c r="E87" s="88"/>
      <c r="F87" s="90"/>
      <c r="G87" s="88"/>
      <c r="H87" s="1"/>
      <c r="I87" s="1"/>
      <c r="J87" s="1"/>
      <c r="K87" s="1"/>
      <c r="L87" s="1"/>
      <c r="M87" s="1"/>
      <c r="N87" s="1"/>
    </row>
    <row r="88" spans="1:14" ht="21" x14ac:dyDescent="0.3">
      <c r="A88" s="3"/>
      <c r="B88" s="310"/>
      <c r="C88" s="5" t="s">
        <v>361</v>
      </c>
      <c r="D88" s="135">
        <v>23.43</v>
      </c>
      <c r="E88" s="88">
        <v>18.809999999999999</v>
      </c>
      <c r="F88" s="90">
        <v>14.280905397562391</v>
      </c>
      <c r="G88" s="90">
        <v>13.954590818363274</v>
      </c>
      <c r="H88" s="1"/>
      <c r="I88" s="1"/>
      <c r="J88" s="1"/>
      <c r="K88" s="1"/>
      <c r="L88" s="1"/>
      <c r="M88" s="1"/>
      <c r="N88" s="1"/>
    </row>
    <row r="89" spans="1:14" ht="21" x14ac:dyDescent="0.3">
      <c r="A89" s="3"/>
      <c r="B89" s="310"/>
      <c r="C89" s="5" t="s">
        <v>362</v>
      </c>
      <c r="D89" s="135">
        <v>23.64</v>
      </c>
      <c r="E89" s="88">
        <v>9.4</v>
      </c>
      <c r="F89" s="90">
        <v>25.959331588483995</v>
      </c>
      <c r="G89" s="90">
        <v>24.921164904470416</v>
      </c>
      <c r="H89" s="1"/>
      <c r="I89" s="1"/>
      <c r="J89" s="1"/>
      <c r="K89" s="1"/>
      <c r="L89" s="1"/>
      <c r="M89" s="1"/>
      <c r="N89" s="1"/>
    </row>
    <row r="90" spans="1:14" ht="21" x14ac:dyDescent="0.3">
      <c r="A90" s="3"/>
      <c r="B90" s="310"/>
      <c r="C90" s="5" t="s">
        <v>363</v>
      </c>
      <c r="D90" s="135">
        <v>29.58</v>
      </c>
      <c r="E90" s="88">
        <v>34.56</v>
      </c>
      <c r="F90" s="90">
        <v>31.553774560496382</v>
      </c>
      <c r="G90" s="90">
        <v>18.140096618357489</v>
      </c>
      <c r="H90" s="1"/>
      <c r="I90" s="1"/>
      <c r="J90" s="1"/>
      <c r="K90" s="1"/>
      <c r="L90" s="1"/>
      <c r="M90" s="1"/>
      <c r="N90" s="1"/>
    </row>
    <row r="91" spans="1:14" ht="21" x14ac:dyDescent="0.3">
      <c r="A91" s="3"/>
      <c r="B91" s="310"/>
      <c r="C91" s="5" t="s">
        <v>364</v>
      </c>
      <c r="D91" s="135">
        <v>21.12</v>
      </c>
      <c r="E91" s="88">
        <v>15.93</v>
      </c>
      <c r="F91" s="90">
        <v>8.1368520859671296</v>
      </c>
      <c r="G91" s="90">
        <v>5.8240740740740744</v>
      </c>
      <c r="H91" s="1"/>
      <c r="I91" s="1"/>
      <c r="J91" s="1"/>
      <c r="K91" s="1"/>
      <c r="L91" s="1"/>
      <c r="M91" s="1"/>
      <c r="N91" s="1"/>
    </row>
    <row r="92" spans="1:14" ht="21" x14ac:dyDescent="0.3">
      <c r="A92" s="3"/>
      <c r="B92" s="310"/>
      <c r="C92" s="5" t="s">
        <v>365</v>
      </c>
      <c r="D92" s="135">
        <v>48.16</v>
      </c>
      <c r="E92" s="88">
        <v>16.399999999999999</v>
      </c>
      <c r="F92" s="90">
        <v>10.514668367346939</v>
      </c>
      <c r="G92" s="90">
        <v>8.8992332968236578</v>
      </c>
      <c r="H92" s="1"/>
      <c r="I92" s="1"/>
      <c r="J92" s="1"/>
      <c r="K92" s="1"/>
      <c r="L92" s="1"/>
      <c r="M92" s="1"/>
      <c r="N92" s="1"/>
    </row>
    <row r="93" spans="1:14" ht="21" x14ac:dyDescent="0.3">
      <c r="A93" s="3"/>
      <c r="B93" s="310"/>
      <c r="C93" s="54" t="s">
        <v>295</v>
      </c>
      <c r="D93" s="140">
        <f>AVERAGE(D88:D92)</f>
        <v>29.186</v>
      </c>
      <c r="E93" s="116">
        <v>19.02</v>
      </c>
      <c r="F93" s="157">
        <f>AVERAGE(F88:F92)</f>
        <v>18.089106399971367</v>
      </c>
      <c r="G93" s="157">
        <f>AVERAGE(G88:G92)</f>
        <v>14.34783194241778</v>
      </c>
      <c r="H93" s="1"/>
      <c r="I93" s="1"/>
      <c r="J93" s="1"/>
      <c r="K93" s="1"/>
      <c r="L93" s="1"/>
      <c r="M93" s="1"/>
      <c r="N93" s="1"/>
    </row>
    <row r="94" spans="1:14" ht="21" x14ac:dyDescent="0.3">
      <c r="A94" s="3"/>
      <c r="B94" s="310" t="s">
        <v>60</v>
      </c>
      <c r="C94" s="54" t="s">
        <v>360</v>
      </c>
      <c r="D94" s="142">
        <v>9.4100000000000003E-2</v>
      </c>
      <c r="E94" s="110">
        <v>4.0500000000000001E-2</v>
      </c>
      <c r="F94" s="110">
        <v>4.0156096296889834E-2</v>
      </c>
      <c r="G94" s="110">
        <v>3.9899999999999998E-2</v>
      </c>
      <c r="H94" s="1"/>
      <c r="I94" s="1"/>
      <c r="J94" s="1"/>
      <c r="K94" s="1"/>
      <c r="L94" s="1"/>
      <c r="M94" s="1"/>
      <c r="N94" s="1"/>
    </row>
    <row r="95" spans="1:14" ht="21" x14ac:dyDescent="0.3">
      <c r="A95" s="3"/>
      <c r="B95" s="310"/>
      <c r="C95" s="54" t="s">
        <v>237</v>
      </c>
      <c r="D95" s="5"/>
      <c r="E95" s="88"/>
      <c r="F95" s="110"/>
      <c r="G95" s="88"/>
      <c r="H95" s="1"/>
      <c r="I95" s="1"/>
      <c r="J95" s="1"/>
      <c r="K95" s="1"/>
      <c r="L95" s="1"/>
      <c r="M95" s="1"/>
      <c r="N95" s="1"/>
    </row>
    <row r="96" spans="1:14" ht="21" x14ac:dyDescent="0.3">
      <c r="A96" s="3"/>
      <c r="B96" s="310"/>
      <c r="C96" s="5" t="s">
        <v>361</v>
      </c>
      <c r="D96" s="142">
        <v>0.13550000000000001</v>
      </c>
      <c r="E96" s="110">
        <v>0.14000000000000001</v>
      </c>
      <c r="F96" s="110">
        <v>0.1183115476835022</v>
      </c>
      <c r="G96" s="110">
        <v>0.1232</v>
      </c>
      <c r="H96" s="1"/>
      <c r="I96" s="1"/>
      <c r="J96" s="1"/>
      <c r="K96" s="1"/>
      <c r="L96" s="1"/>
      <c r="M96" s="1"/>
      <c r="N96" s="1"/>
    </row>
    <row r="97" spans="1:14" ht="21" x14ac:dyDescent="0.3">
      <c r="A97" s="3"/>
      <c r="B97" s="310"/>
      <c r="C97" s="5" t="s">
        <v>362</v>
      </c>
      <c r="D97" s="142">
        <v>0.25650000000000001</v>
      </c>
      <c r="E97" s="110">
        <v>0.2135</v>
      </c>
      <c r="F97" s="110">
        <v>5.9552159144880337E-2</v>
      </c>
      <c r="G97" s="110">
        <v>6.0600000000000001E-2</v>
      </c>
      <c r="H97" s="1"/>
      <c r="I97" s="1"/>
      <c r="J97" s="1"/>
      <c r="K97" s="1"/>
      <c r="L97" s="1"/>
      <c r="M97" s="1"/>
      <c r="N97" s="1"/>
    </row>
    <row r="98" spans="1:14" ht="21" x14ac:dyDescent="0.3">
      <c r="A98" s="3"/>
      <c r="B98" s="310"/>
      <c r="C98" s="5" t="s">
        <v>363</v>
      </c>
      <c r="D98" s="142">
        <v>0.24060000000000001</v>
      </c>
      <c r="E98" s="110">
        <v>0.13320000000000001</v>
      </c>
      <c r="F98" s="110">
        <v>0.10715882173858161</v>
      </c>
      <c r="G98" s="110">
        <v>9.3600000000000003E-2</v>
      </c>
      <c r="H98" s="1"/>
      <c r="I98" s="1"/>
      <c r="J98" s="1"/>
      <c r="K98" s="1"/>
      <c r="L98" s="1"/>
      <c r="M98" s="1"/>
      <c r="N98" s="1"/>
    </row>
    <row r="99" spans="1:14" ht="21" x14ac:dyDescent="0.3">
      <c r="A99" s="3"/>
      <c r="B99" s="310"/>
      <c r="C99" s="5" t="s">
        <v>364</v>
      </c>
      <c r="D99" s="142">
        <v>0.12590000000000001</v>
      </c>
      <c r="E99" s="110">
        <v>0.13339999999999999</v>
      </c>
      <c r="F99" s="110">
        <v>0.13309912162300627</v>
      </c>
      <c r="G99" s="110">
        <v>0.13850000000000001</v>
      </c>
      <c r="H99" s="1"/>
      <c r="I99" s="1"/>
      <c r="J99" s="1"/>
      <c r="K99" s="1"/>
      <c r="L99" s="1"/>
      <c r="M99" s="1"/>
      <c r="N99" s="1"/>
    </row>
    <row r="100" spans="1:14" ht="21" x14ac:dyDescent="0.3">
      <c r="A100" s="3"/>
      <c r="B100" s="310"/>
      <c r="C100" s="5" t="s">
        <v>365</v>
      </c>
      <c r="D100" s="142">
        <v>4.0399999999999998E-2</v>
      </c>
      <c r="E100" s="110">
        <v>8.2900000000000001E-2</v>
      </c>
      <c r="F100" s="110">
        <v>7.0333583627827628E-2</v>
      </c>
      <c r="G100" s="110">
        <v>3.9899999999999998E-2</v>
      </c>
      <c r="H100" s="1"/>
      <c r="I100" s="1"/>
      <c r="J100" s="1"/>
      <c r="K100" s="1"/>
      <c r="L100" s="1"/>
      <c r="M100" s="1"/>
      <c r="N100" s="1"/>
    </row>
    <row r="101" spans="1:14" ht="21" x14ac:dyDescent="0.3">
      <c r="A101" s="3"/>
      <c r="B101" s="310"/>
      <c r="C101" s="54" t="s">
        <v>295</v>
      </c>
      <c r="D101" s="143">
        <f>AVERAGE(D96:D100)</f>
        <v>0.15978000000000001</v>
      </c>
      <c r="E101" s="131">
        <v>0.1239</v>
      </c>
      <c r="F101" s="131">
        <f>AVERAGE(F96:F100)</f>
        <v>9.7691046763559594E-2</v>
      </c>
      <c r="G101" s="131">
        <f>AVERAGE(G96:G100)</f>
        <v>9.1160000000000005E-2</v>
      </c>
      <c r="H101" s="1"/>
      <c r="I101" s="1"/>
      <c r="J101" s="1"/>
      <c r="K101" s="1"/>
      <c r="L101" s="1"/>
      <c r="M101" s="1"/>
      <c r="N101" s="1"/>
    </row>
    <row r="102" spans="1:14" ht="21" x14ac:dyDescent="0.3">
      <c r="A102" s="3"/>
      <c r="B102" s="310" t="s">
        <v>61</v>
      </c>
      <c r="C102" s="54" t="s">
        <v>360</v>
      </c>
      <c r="D102" s="135">
        <v>12.2</v>
      </c>
      <c r="E102" s="88">
        <v>2.27</v>
      </c>
      <c r="F102" s="90">
        <v>23.717977489471565</v>
      </c>
      <c r="G102" s="90">
        <v>24.7</v>
      </c>
      <c r="H102" s="1"/>
      <c r="I102" s="1"/>
      <c r="J102" s="1"/>
      <c r="K102" s="1"/>
      <c r="L102" s="1"/>
      <c r="M102" s="1"/>
      <c r="N102" s="1"/>
    </row>
    <row r="103" spans="1:14" ht="21" x14ac:dyDescent="0.3">
      <c r="A103" s="3"/>
      <c r="B103" s="310"/>
      <c r="C103" s="54" t="s">
        <v>237</v>
      </c>
      <c r="D103" s="135"/>
      <c r="E103" s="88"/>
      <c r="F103" s="90"/>
      <c r="G103" s="88"/>
      <c r="H103" s="1"/>
      <c r="I103" s="1"/>
      <c r="J103" s="1"/>
      <c r="K103" s="1"/>
      <c r="L103" s="1"/>
      <c r="M103" s="1"/>
      <c r="N103" s="1"/>
    </row>
    <row r="104" spans="1:14" ht="21" x14ac:dyDescent="0.3">
      <c r="A104" s="3"/>
      <c r="B104" s="310"/>
      <c r="C104" s="5" t="s">
        <v>361</v>
      </c>
      <c r="D104" s="151">
        <v>277.83</v>
      </c>
      <c r="E104" s="88">
        <v>1.07</v>
      </c>
      <c r="F104" s="90">
        <v>1.4250492565922319</v>
      </c>
      <c r="G104" s="88">
        <v>162.72</v>
      </c>
      <c r="H104" s="1"/>
      <c r="I104" s="1"/>
      <c r="J104" s="1"/>
      <c r="K104" s="1"/>
      <c r="L104" s="1"/>
      <c r="M104" s="1"/>
      <c r="N104" s="1"/>
    </row>
    <row r="105" spans="1:14" ht="21" x14ac:dyDescent="0.3">
      <c r="A105" s="3"/>
      <c r="B105" s="310"/>
      <c r="C105" s="5" t="s">
        <v>362</v>
      </c>
      <c r="D105" s="151">
        <v>430.61</v>
      </c>
      <c r="E105" s="88">
        <v>775.56</v>
      </c>
      <c r="F105" s="90">
        <v>833.52569715680931</v>
      </c>
      <c r="G105" s="88">
        <v>887.8</v>
      </c>
      <c r="H105" s="1"/>
      <c r="I105" s="1"/>
      <c r="J105" s="1"/>
      <c r="K105" s="1"/>
      <c r="L105" s="1"/>
      <c r="M105" s="1"/>
      <c r="N105" s="1"/>
    </row>
    <row r="106" spans="1:14" ht="21" x14ac:dyDescent="0.3">
      <c r="A106" s="3"/>
      <c r="B106" s="310"/>
      <c r="C106" s="5" t="s">
        <v>363</v>
      </c>
      <c r="D106" s="134">
        <v>112.26</v>
      </c>
      <c r="E106" s="88">
        <v>161.06</v>
      </c>
      <c r="F106" s="90">
        <v>180.43465736668003</v>
      </c>
      <c r="G106" s="88">
        <v>199.03</v>
      </c>
      <c r="H106" s="1"/>
      <c r="I106" s="1"/>
      <c r="J106" s="1"/>
      <c r="K106" s="1"/>
      <c r="L106" s="1"/>
      <c r="M106" s="1"/>
      <c r="N106" s="1"/>
    </row>
    <row r="107" spans="1:14" ht="21" x14ac:dyDescent="0.3">
      <c r="A107" s="3"/>
      <c r="B107" s="310"/>
      <c r="C107" s="5" t="s">
        <v>364</v>
      </c>
      <c r="D107" s="134">
        <v>174.85</v>
      </c>
      <c r="E107" s="152">
        <v>21.16</v>
      </c>
      <c r="F107" s="90">
        <v>237.7455605305465</v>
      </c>
      <c r="G107" s="88">
        <v>272.83</v>
      </c>
      <c r="H107" s="1"/>
      <c r="I107" s="1"/>
      <c r="J107" s="1"/>
      <c r="K107" s="1"/>
      <c r="L107" s="1"/>
      <c r="M107" s="1"/>
      <c r="N107" s="1"/>
    </row>
    <row r="108" spans="1:14" ht="21" x14ac:dyDescent="0.3">
      <c r="A108" s="3"/>
      <c r="B108" s="310"/>
      <c r="C108" s="5" t="s">
        <v>365</v>
      </c>
      <c r="D108" s="134">
        <v>106.46</v>
      </c>
      <c r="E108" s="152">
        <v>157.04</v>
      </c>
      <c r="F108" s="90">
        <v>219.60833577635995</v>
      </c>
      <c r="G108" s="88">
        <v>183.19</v>
      </c>
      <c r="H108" s="1"/>
      <c r="I108" s="1"/>
      <c r="J108" s="1"/>
      <c r="K108" s="1"/>
      <c r="L108" s="1"/>
      <c r="M108" s="1"/>
      <c r="N108" s="1"/>
    </row>
    <row r="109" spans="1:14" ht="21" x14ac:dyDescent="0.35">
      <c r="A109" s="3"/>
      <c r="B109" s="310"/>
      <c r="C109" s="67" t="s">
        <v>295</v>
      </c>
      <c r="D109" s="144">
        <f>AVERAGE(D104:D108)</f>
        <v>220.40199999999999</v>
      </c>
      <c r="E109" s="166">
        <v>223.178</v>
      </c>
      <c r="F109" s="157">
        <f>AVERAGE(F104:F108)</f>
        <v>294.54786001739762</v>
      </c>
      <c r="G109" s="116">
        <f>AVERAGE(G104:G108)</f>
        <v>341.11399999999998</v>
      </c>
      <c r="H109" s="1"/>
      <c r="I109" s="1"/>
      <c r="J109" s="1"/>
      <c r="K109" s="1"/>
      <c r="L109" s="1"/>
      <c r="M109" s="1"/>
      <c r="N109" s="1"/>
    </row>
    <row r="110" spans="1:14" ht="21" x14ac:dyDescent="0.3">
      <c r="A110" s="3"/>
      <c r="B110" s="301"/>
      <c r="C110" s="302"/>
      <c r="D110" s="302"/>
      <c r="E110" s="302"/>
      <c r="F110" s="302"/>
      <c r="G110" s="303"/>
      <c r="H110" s="1"/>
      <c r="I110" s="1"/>
      <c r="J110" s="1"/>
      <c r="K110" s="1"/>
      <c r="L110" s="1"/>
      <c r="M110" s="1"/>
      <c r="N110" s="1"/>
    </row>
    <row r="111" spans="1:14" ht="21" x14ac:dyDescent="0.3">
      <c r="A111" s="2"/>
      <c r="B111" s="253"/>
      <c r="C111" s="270"/>
      <c r="D111" s="270"/>
      <c r="E111" s="270"/>
      <c r="F111" s="270"/>
      <c r="G111" s="254"/>
      <c r="H111" s="2"/>
      <c r="I111" s="2"/>
      <c r="J111" s="2"/>
      <c r="K111" s="2"/>
      <c r="L111" s="2"/>
      <c r="M111" s="2"/>
      <c r="N111" s="2"/>
    </row>
    <row r="112" spans="1:14" ht="21" x14ac:dyDescent="0.3">
      <c r="A112" s="3"/>
      <c r="B112" s="253" t="s">
        <v>578</v>
      </c>
      <c r="C112" s="270"/>
      <c r="D112" s="270"/>
      <c r="E112" s="270"/>
      <c r="F112" s="270"/>
      <c r="G112" s="254"/>
      <c r="H112" s="1"/>
      <c r="I112" s="1"/>
      <c r="J112" s="1"/>
      <c r="K112" s="1"/>
      <c r="L112" s="1"/>
      <c r="M112" s="1"/>
      <c r="N112" s="1"/>
    </row>
    <row r="113" spans="1:14" ht="45.6" customHeight="1" x14ac:dyDescent="0.3">
      <c r="A113" s="1"/>
      <c r="B113" s="270" t="s">
        <v>951</v>
      </c>
      <c r="C113" s="270"/>
      <c r="D113" s="270"/>
      <c r="E113" s="270"/>
      <c r="F113" s="270"/>
      <c r="G113" s="270"/>
      <c r="H113" s="1"/>
      <c r="I113" s="1"/>
      <c r="J113" s="1"/>
      <c r="K113" s="1"/>
      <c r="L113" s="1"/>
      <c r="M113" s="1"/>
      <c r="N113" s="1"/>
    </row>
    <row r="114" spans="1:14" ht="21" x14ac:dyDescent="0.3">
      <c r="A114" s="3">
        <v>14</v>
      </c>
      <c r="B114" s="54" t="s">
        <v>63</v>
      </c>
      <c r="C114" s="307" t="s">
        <v>50</v>
      </c>
      <c r="D114" s="308"/>
      <c r="E114" s="308"/>
      <c r="F114" s="308"/>
      <c r="G114" s="249"/>
      <c r="H114" s="1"/>
      <c r="I114" s="1"/>
      <c r="J114" s="1"/>
      <c r="K114" s="1"/>
      <c r="L114" s="1"/>
      <c r="M114" s="1"/>
      <c r="N114" s="1"/>
    </row>
    <row r="115" spans="1:14" ht="21" x14ac:dyDescent="0.3">
      <c r="A115" s="1"/>
      <c r="B115" s="1"/>
      <c r="C115" s="55"/>
      <c r="D115" s="55"/>
      <c r="E115" s="55"/>
      <c r="F115" s="55"/>
      <c r="G115" s="55"/>
      <c r="H115" s="1"/>
      <c r="I115" s="1"/>
      <c r="J115" s="1"/>
      <c r="K115" s="1"/>
      <c r="L115" s="1"/>
      <c r="M115" s="1"/>
      <c r="N115" s="1"/>
    </row>
    <row r="116" spans="1:14" ht="21" x14ac:dyDescent="0.3">
      <c r="A116" s="1"/>
      <c r="B116" s="299" t="s">
        <v>374</v>
      </c>
      <c r="C116" s="299"/>
      <c r="D116" s="299"/>
      <c r="E116" s="299"/>
      <c r="F116" s="299"/>
      <c r="G116" s="299"/>
      <c r="H116" s="299"/>
      <c r="I116" s="1"/>
      <c r="J116" s="1"/>
      <c r="K116" s="1"/>
      <c r="L116" s="1"/>
      <c r="M116" s="1"/>
      <c r="N116" s="1"/>
    </row>
  </sheetData>
  <mergeCells count="60">
    <mergeCell ref="C21:E21"/>
    <mergeCell ref="A1:B1"/>
    <mergeCell ref="C5:E5"/>
    <mergeCell ref="B6:D6"/>
    <mergeCell ref="B9:D9"/>
    <mergeCell ref="C11:E11"/>
    <mergeCell ref="B12:D12"/>
    <mergeCell ref="C14:E14"/>
    <mergeCell ref="B15:D15"/>
    <mergeCell ref="B17:C17"/>
    <mergeCell ref="B19:E19"/>
    <mergeCell ref="C20:E20"/>
    <mergeCell ref="C43:E43"/>
    <mergeCell ref="C22:E22"/>
    <mergeCell ref="C23:E23"/>
    <mergeCell ref="C24:E24"/>
    <mergeCell ref="B26:E26"/>
    <mergeCell ref="B27:E27"/>
    <mergeCell ref="B33:E33"/>
    <mergeCell ref="B35:E35"/>
    <mergeCell ref="B39:D39"/>
    <mergeCell ref="B41:E41"/>
    <mergeCell ref="C42:E42"/>
    <mergeCell ref="B25:E25"/>
    <mergeCell ref="C62:E62"/>
    <mergeCell ref="C44:E44"/>
    <mergeCell ref="B45:E45"/>
    <mergeCell ref="B47:E47"/>
    <mergeCell ref="B50:E50"/>
    <mergeCell ref="B53:E53"/>
    <mergeCell ref="B54:B55"/>
    <mergeCell ref="C54:E55"/>
    <mergeCell ref="C56:E56"/>
    <mergeCell ref="C57:E57"/>
    <mergeCell ref="B58:E58"/>
    <mergeCell ref="C60:E60"/>
    <mergeCell ref="C61:E61"/>
    <mergeCell ref="B70:N70"/>
    <mergeCell ref="I66:K66"/>
    <mergeCell ref="B73:F73"/>
    <mergeCell ref="C66:C67"/>
    <mergeCell ref="D66:D67"/>
    <mergeCell ref="E66:E67"/>
    <mergeCell ref="F66:H66"/>
    <mergeCell ref="L66:N66"/>
    <mergeCell ref="B72:F72"/>
    <mergeCell ref="B71:F71"/>
    <mergeCell ref="B66:B67"/>
    <mergeCell ref="B74:C74"/>
    <mergeCell ref="B75:G75"/>
    <mergeCell ref="B78:B85"/>
    <mergeCell ref="B86:B93"/>
    <mergeCell ref="B116:H116"/>
    <mergeCell ref="B110:G110"/>
    <mergeCell ref="B111:G111"/>
    <mergeCell ref="B112:G112"/>
    <mergeCell ref="C114:G114"/>
    <mergeCell ref="B94:B101"/>
    <mergeCell ref="B102:B109"/>
    <mergeCell ref="B113:G113"/>
  </mergeCells>
  <pageMargins left="0.70866141732283472" right="0.70866141732283472" top="0.74803149606299213" bottom="0.74803149606299213" header="0.31496062992125984" footer="0.31496062992125984"/>
  <pageSetup paperSize="9" scale="27" fitToWidth="70" fitToHeight="2" orientation="landscape" horizontalDpi="4294967292"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91799-C429-4503-88E0-346889DAD633}">
  <sheetPr>
    <pageSetUpPr fitToPage="1"/>
  </sheetPr>
  <dimension ref="A1:N101"/>
  <sheetViews>
    <sheetView zoomScale="52" zoomScaleNormal="51" workbookViewId="0">
      <selection activeCell="B15" sqref="B15:D15"/>
    </sheetView>
  </sheetViews>
  <sheetFormatPr defaultColWidth="8.6640625" defaultRowHeight="14.4" x14ac:dyDescent="0.3"/>
  <cols>
    <col min="2" max="2" width="58.33203125" customWidth="1"/>
    <col min="3" max="3" width="81" customWidth="1"/>
    <col min="4" max="4" width="73.109375" customWidth="1"/>
    <col min="5" max="5" width="27.6640625" customWidth="1"/>
    <col min="6" max="6" width="15" customWidth="1"/>
    <col min="7" max="7" width="16.77734375" customWidth="1"/>
    <col min="8" max="8" width="22.6640625" customWidth="1"/>
    <col min="9" max="9" width="15.5546875" customWidth="1"/>
    <col min="10" max="10" width="15.77734375" customWidth="1"/>
    <col min="11" max="11" width="16.109375" customWidth="1"/>
    <col min="12" max="14" width="13" bestFit="1" customWidth="1"/>
  </cols>
  <sheetData>
    <row r="1" spans="1:14" ht="20.25" customHeight="1" x14ac:dyDescent="0.3">
      <c r="A1" s="246" t="s">
        <v>0</v>
      </c>
      <c r="B1" s="246"/>
      <c r="C1" s="1"/>
      <c r="D1" s="2"/>
      <c r="E1" s="1"/>
      <c r="F1" s="1"/>
      <c r="G1" s="1"/>
      <c r="H1" s="1"/>
      <c r="I1" s="1"/>
      <c r="J1" s="1"/>
      <c r="K1" s="1"/>
      <c r="L1" s="1"/>
      <c r="M1" s="1"/>
      <c r="N1" s="1"/>
    </row>
    <row r="2" spans="1:14" ht="21" x14ac:dyDescent="0.3">
      <c r="A2" s="1"/>
      <c r="B2" s="1"/>
      <c r="C2" s="1"/>
      <c r="D2" s="1"/>
      <c r="E2" s="1"/>
      <c r="F2" s="1"/>
      <c r="G2" s="1"/>
      <c r="H2" s="1"/>
      <c r="I2" s="1"/>
      <c r="J2" s="1"/>
      <c r="K2" s="1"/>
      <c r="L2" s="1"/>
      <c r="M2" s="1"/>
      <c r="N2" s="1"/>
    </row>
    <row r="3" spans="1:14" ht="40.799999999999997" x14ac:dyDescent="0.3">
      <c r="A3" s="3" t="s">
        <v>1</v>
      </c>
      <c r="B3" s="54" t="s">
        <v>2</v>
      </c>
      <c r="C3" s="300" t="s">
        <v>367</v>
      </c>
      <c r="D3" s="300"/>
      <c r="E3" s="300"/>
      <c r="F3" s="1"/>
      <c r="G3" s="1"/>
      <c r="H3" s="1"/>
      <c r="I3" s="1"/>
      <c r="J3" s="1"/>
      <c r="K3" s="1"/>
      <c r="L3" s="1"/>
      <c r="M3" s="1"/>
      <c r="N3" s="1"/>
    </row>
    <row r="4" spans="1:14" ht="21" x14ac:dyDescent="0.3">
      <c r="A4" s="1"/>
      <c r="B4" s="1"/>
      <c r="C4" s="1"/>
      <c r="D4" s="22"/>
      <c r="E4" s="1"/>
      <c r="F4" s="1"/>
      <c r="G4" s="1"/>
      <c r="H4" s="1"/>
      <c r="I4" s="1"/>
      <c r="J4" s="1"/>
      <c r="K4" s="1"/>
      <c r="L4" s="1"/>
      <c r="M4" s="1"/>
      <c r="N4" s="1"/>
    </row>
    <row r="5" spans="1:14" ht="21" x14ac:dyDescent="0.3">
      <c r="A5" s="62">
        <v>1</v>
      </c>
      <c r="B5" s="63" t="s">
        <v>3</v>
      </c>
      <c r="C5" s="247" t="s">
        <v>799</v>
      </c>
      <c r="D5" s="248"/>
      <c r="E5" s="249"/>
      <c r="F5" s="1"/>
      <c r="G5" s="1"/>
      <c r="H5" s="1"/>
      <c r="I5" s="1"/>
      <c r="J5" s="1"/>
      <c r="K5" s="1"/>
      <c r="L5" s="1"/>
      <c r="M5" s="1"/>
      <c r="N5" s="1"/>
    </row>
    <row r="6" spans="1:14" ht="21" x14ac:dyDescent="0.3">
      <c r="A6" s="3"/>
      <c r="B6" s="250" t="s">
        <v>4</v>
      </c>
      <c r="C6" s="251"/>
      <c r="D6" s="252"/>
      <c r="E6" s="10"/>
      <c r="F6" s="1"/>
      <c r="G6" s="1"/>
      <c r="H6" s="1"/>
      <c r="I6" s="1"/>
      <c r="J6" s="1"/>
      <c r="K6" s="1"/>
      <c r="L6" s="1"/>
      <c r="M6" s="1"/>
      <c r="N6" s="1"/>
    </row>
    <row r="7" spans="1:14" ht="21" x14ac:dyDescent="0.3">
      <c r="A7" s="3"/>
      <c r="B7" s="2"/>
      <c r="C7" s="1"/>
      <c r="D7" s="22"/>
      <c r="E7" s="1"/>
      <c r="F7" s="1"/>
      <c r="G7" s="1"/>
      <c r="H7" s="1"/>
      <c r="I7" s="1"/>
      <c r="J7" s="1"/>
      <c r="K7" s="1"/>
      <c r="L7" s="1"/>
      <c r="M7" s="1"/>
      <c r="N7" s="1"/>
    </row>
    <row r="8" spans="1:14" ht="21" x14ac:dyDescent="0.3">
      <c r="A8" s="3">
        <v>2</v>
      </c>
      <c r="B8" s="63" t="s">
        <v>5</v>
      </c>
      <c r="C8" s="12" t="s">
        <v>368</v>
      </c>
      <c r="D8" s="22"/>
      <c r="E8" s="1"/>
      <c r="F8" s="1"/>
      <c r="G8" s="1"/>
      <c r="H8" s="1"/>
      <c r="I8" s="1"/>
      <c r="J8" s="1"/>
      <c r="K8" s="1"/>
      <c r="L8" s="1"/>
      <c r="M8" s="1"/>
      <c r="N8" s="1"/>
    </row>
    <row r="9" spans="1:14" ht="21" x14ac:dyDescent="0.3">
      <c r="A9" s="3"/>
      <c r="B9" s="250" t="s">
        <v>4</v>
      </c>
      <c r="C9" s="251"/>
      <c r="D9" s="252"/>
      <c r="E9" s="1"/>
      <c r="F9" s="1"/>
      <c r="G9" s="1"/>
      <c r="H9" s="1"/>
      <c r="I9" s="1"/>
      <c r="J9" s="1"/>
      <c r="K9" s="1"/>
      <c r="L9" s="1"/>
      <c r="M9" s="1"/>
      <c r="N9" s="1"/>
    </row>
    <row r="10" spans="1:14" ht="21" x14ac:dyDescent="0.3">
      <c r="A10" s="3"/>
      <c r="B10" s="2"/>
      <c r="C10" s="1"/>
      <c r="D10" s="22"/>
      <c r="E10" s="1"/>
      <c r="F10" s="1"/>
      <c r="G10" s="1"/>
      <c r="H10" s="1"/>
      <c r="I10" s="1"/>
      <c r="J10" s="1"/>
      <c r="K10" s="1"/>
      <c r="L10" s="1"/>
      <c r="M10" s="1"/>
      <c r="N10" s="1"/>
    </row>
    <row r="11" spans="1:14" ht="40.950000000000003" customHeight="1" x14ac:dyDescent="0.3">
      <c r="A11" s="3">
        <v>3</v>
      </c>
      <c r="B11" s="63" t="s">
        <v>6</v>
      </c>
      <c r="C11" s="247" t="s">
        <v>90</v>
      </c>
      <c r="D11" s="248"/>
      <c r="E11" s="249"/>
      <c r="F11" s="1"/>
      <c r="G11" s="1"/>
      <c r="H11" s="1"/>
      <c r="I11" s="1"/>
      <c r="J11" s="1"/>
      <c r="K11" s="1"/>
      <c r="L11" s="1"/>
      <c r="M11" s="1"/>
      <c r="N11" s="1"/>
    </row>
    <row r="12" spans="1:14" ht="21" x14ac:dyDescent="0.3">
      <c r="A12" s="3"/>
      <c r="B12" s="250" t="s">
        <v>4</v>
      </c>
      <c r="C12" s="251"/>
      <c r="D12" s="252"/>
      <c r="E12" s="10"/>
      <c r="F12" s="1"/>
      <c r="G12" s="1"/>
      <c r="H12" s="1"/>
      <c r="I12" s="1"/>
      <c r="J12" s="1"/>
      <c r="K12" s="1"/>
      <c r="L12" s="1"/>
      <c r="M12" s="1"/>
      <c r="N12" s="1"/>
    </row>
    <row r="13" spans="1:14" ht="21" x14ac:dyDescent="0.3">
      <c r="A13" s="3"/>
      <c r="B13" s="2"/>
      <c r="C13" s="1"/>
      <c r="D13" s="22"/>
      <c r="E13" s="1"/>
      <c r="F13" s="1"/>
      <c r="G13" s="1"/>
      <c r="H13" s="1"/>
      <c r="I13" s="1"/>
      <c r="J13" s="1"/>
      <c r="K13" s="1"/>
      <c r="L13" s="1"/>
      <c r="M13" s="1"/>
      <c r="N13" s="1"/>
    </row>
    <row r="14" spans="1:14" ht="21" x14ac:dyDescent="0.3">
      <c r="A14" s="3">
        <v>4</v>
      </c>
      <c r="B14" s="54" t="s">
        <v>92</v>
      </c>
      <c r="C14" s="247" t="s">
        <v>90</v>
      </c>
      <c r="D14" s="248"/>
      <c r="E14" s="249"/>
      <c r="F14" s="1"/>
      <c r="G14" s="1"/>
      <c r="H14" s="1"/>
      <c r="I14" s="1"/>
      <c r="J14" s="1"/>
      <c r="K14" s="1"/>
      <c r="L14" s="1"/>
      <c r="M14" s="1"/>
      <c r="N14" s="1"/>
    </row>
    <row r="15" spans="1:14" ht="21" x14ac:dyDescent="0.3">
      <c r="A15" s="3"/>
      <c r="B15" s="250" t="s">
        <v>4</v>
      </c>
      <c r="C15" s="251"/>
      <c r="D15" s="252"/>
      <c r="E15" s="1"/>
      <c r="F15" s="1"/>
      <c r="G15" s="1"/>
      <c r="H15" s="1"/>
      <c r="I15" s="1"/>
      <c r="J15" s="1"/>
      <c r="K15" s="1"/>
      <c r="L15" s="1"/>
      <c r="M15" s="1"/>
      <c r="N15" s="1"/>
    </row>
    <row r="16" spans="1:14" ht="21" x14ac:dyDescent="0.3">
      <c r="A16" s="3">
        <v>4</v>
      </c>
      <c r="B16" s="54" t="s">
        <v>7</v>
      </c>
      <c r="C16" s="5" t="s">
        <v>585</v>
      </c>
      <c r="D16" s="22"/>
      <c r="E16" s="1"/>
      <c r="F16" s="1"/>
      <c r="G16" s="1"/>
      <c r="H16" s="1"/>
      <c r="I16" s="1"/>
      <c r="J16" s="1"/>
      <c r="K16" s="1"/>
      <c r="L16" s="1"/>
      <c r="M16" s="1"/>
      <c r="N16" s="1"/>
    </row>
    <row r="17" spans="1:14" ht="21" x14ac:dyDescent="0.3">
      <c r="A17" s="3"/>
      <c r="B17" s="253" t="s">
        <v>8</v>
      </c>
      <c r="C17" s="254"/>
      <c r="D17" s="22"/>
      <c r="E17" s="1"/>
      <c r="F17" s="1"/>
      <c r="G17" s="1"/>
      <c r="H17" s="1"/>
      <c r="I17" s="1"/>
      <c r="J17" s="1"/>
      <c r="K17" s="1"/>
      <c r="L17" s="1"/>
      <c r="M17" s="1"/>
      <c r="N17" s="1"/>
    </row>
    <row r="18" spans="1:14" ht="21" x14ac:dyDescent="0.3">
      <c r="A18" s="3"/>
      <c r="B18" s="1"/>
      <c r="C18" s="1"/>
      <c r="D18" s="22"/>
      <c r="E18" s="1"/>
      <c r="F18" s="1"/>
      <c r="G18" s="1"/>
      <c r="H18" s="1"/>
      <c r="I18" s="1"/>
      <c r="J18" s="1"/>
      <c r="K18" s="1"/>
      <c r="L18" s="1"/>
      <c r="M18" s="1"/>
      <c r="N18" s="1"/>
    </row>
    <row r="19" spans="1:14" ht="21" x14ac:dyDescent="0.3">
      <c r="A19" s="3">
        <v>5</v>
      </c>
      <c r="B19" s="255" t="s">
        <v>9</v>
      </c>
      <c r="C19" s="256"/>
      <c r="D19" s="256"/>
      <c r="E19" s="257"/>
      <c r="F19" s="2"/>
      <c r="G19" s="2"/>
      <c r="H19" s="2"/>
      <c r="I19" s="2"/>
      <c r="J19" s="10"/>
      <c r="K19" s="10"/>
      <c r="L19" s="10"/>
      <c r="M19" s="10"/>
      <c r="N19" s="10"/>
    </row>
    <row r="20" spans="1:14" ht="21" x14ac:dyDescent="0.3">
      <c r="A20" s="3"/>
      <c r="B20" s="65" t="s">
        <v>10</v>
      </c>
      <c r="C20" s="243">
        <v>5.0000000000000001E-4</v>
      </c>
      <c r="D20" s="244"/>
      <c r="E20" s="245"/>
      <c r="F20" s="66"/>
      <c r="G20" s="10"/>
      <c r="H20" s="10"/>
      <c r="I20" s="10"/>
      <c r="J20" s="10"/>
      <c r="K20" s="10"/>
      <c r="L20" s="10"/>
      <c r="M20" s="10"/>
      <c r="N20" s="10"/>
    </row>
    <row r="21" spans="1:14" ht="61.2" x14ac:dyDescent="0.3">
      <c r="A21" s="3"/>
      <c r="B21" s="65" t="s">
        <v>453</v>
      </c>
      <c r="C21" s="243" t="s">
        <v>11</v>
      </c>
      <c r="D21" s="244"/>
      <c r="E21" s="245"/>
      <c r="F21" s="66"/>
      <c r="G21" s="10"/>
      <c r="H21" s="1"/>
      <c r="I21" s="10"/>
      <c r="J21" s="10"/>
      <c r="K21" s="10"/>
      <c r="L21" s="10"/>
      <c r="M21" s="10"/>
      <c r="N21" s="10"/>
    </row>
    <row r="22" spans="1:14" ht="21" x14ac:dyDescent="0.3">
      <c r="A22" s="3"/>
      <c r="B22" s="65" t="s">
        <v>243</v>
      </c>
      <c r="C22" s="243" t="s">
        <v>11</v>
      </c>
      <c r="D22" s="244"/>
      <c r="E22" s="245"/>
      <c r="F22" s="66"/>
      <c r="G22" s="10"/>
      <c r="H22" s="10"/>
      <c r="I22" s="10"/>
      <c r="J22" s="10"/>
      <c r="K22" s="10"/>
      <c r="L22" s="10"/>
      <c r="M22" s="10"/>
      <c r="N22" s="10"/>
    </row>
    <row r="23" spans="1:14" ht="21" x14ac:dyDescent="0.3">
      <c r="A23" s="3"/>
      <c r="B23" s="64" t="s">
        <v>252</v>
      </c>
      <c r="C23" s="243" t="s">
        <v>11</v>
      </c>
      <c r="D23" s="244"/>
      <c r="E23" s="245"/>
      <c r="F23" s="66"/>
      <c r="G23" s="10"/>
      <c r="H23" s="10"/>
      <c r="I23" s="10"/>
      <c r="J23" s="10"/>
      <c r="K23" s="10"/>
      <c r="L23" s="10"/>
      <c r="M23" s="10"/>
      <c r="N23" s="10"/>
    </row>
    <row r="24" spans="1:14" ht="21" x14ac:dyDescent="0.3">
      <c r="A24" s="3"/>
      <c r="B24" s="67" t="s">
        <v>253</v>
      </c>
      <c r="C24" s="243" t="s">
        <v>11</v>
      </c>
      <c r="D24" s="244"/>
      <c r="E24" s="245"/>
      <c r="F24" s="66"/>
      <c r="G24" s="10"/>
      <c r="H24" s="10"/>
      <c r="I24" s="10"/>
      <c r="J24" s="10"/>
      <c r="K24" s="10"/>
      <c r="L24" s="10"/>
      <c r="M24" s="10"/>
      <c r="N24" s="10"/>
    </row>
    <row r="25" spans="1:14" ht="40.5" customHeight="1" x14ac:dyDescent="0.3">
      <c r="A25" s="3"/>
      <c r="B25" s="262" t="s">
        <v>793</v>
      </c>
      <c r="C25" s="262"/>
      <c r="D25" s="262"/>
      <c r="E25" s="262"/>
      <c r="F25" s="66"/>
      <c r="G25" s="10"/>
      <c r="H25" s="10"/>
      <c r="I25" s="10"/>
      <c r="J25" s="10"/>
      <c r="K25" s="10"/>
      <c r="L25" s="10"/>
      <c r="M25" s="10"/>
      <c r="N25" s="10"/>
    </row>
    <row r="26" spans="1:14" ht="21" x14ac:dyDescent="0.3">
      <c r="A26" s="3">
        <v>6</v>
      </c>
      <c r="B26" s="261" t="s">
        <v>74</v>
      </c>
      <c r="C26" s="262"/>
      <c r="D26" s="262"/>
      <c r="E26" s="263"/>
      <c r="F26" s="2"/>
      <c r="G26" s="2"/>
      <c r="H26" s="10"/>
      <c r="I26" s="2"/>
      <c r="J26" s="2"/>
      <c r="K26" s="1"/>
      <c r="L26" s="1"/>
      <c r="M26" s="1"/>
      <c r="N26" s="1"/>
    </row>
    <row r="27" spans="1:14" ht="21" x14ac:dyDescent="0.3">
      <c r="A27" s="3"/>
      <c r="B27" s="264" t="s">
        <v>17</v>
      </c>
      <c r="C27" s="265"/>
      <c r="D27" s="265"/>
      <c r="E27" s="266"/>
      <c r="F27" s="66"/>
      <c r="G27" s="1"/>
      <c r="H27" s="1"/>
      <c r="I27" s="1"/>
      <c r="J27" s="1"/>
      <c r="K27" s="1"/>
      <c r="L27" s="1"/>
      <c r="M27" s="1"/>
      <c r="N27" s="1"/>
    </row>
    <row r="28" spans="1:14" ht="21" x14ac:dyDescent="0.3">
      <c r="A28" s="3"/>
      <c r="B28" s="67" t="s">
        <v>454</v>
      </c>
      <c r="C28" s="25" t="s">
        <v>244</v>
      </c>
      <c r="D28" s="25" t="s">
        <v>245</v>
      </c>
      <c r="E28" s="25" t="s">
        <v>246</v>
      </c>
      <c r="F28" s="66"/>
      <c r="G28" s="1"/>
      <c r="H28" s="1"/>
      <c r="I28" s="1"/>
      <c r="J28" s="1"/>
      <c r="K28" s="1"/>
      <c r="L28" s="1"/>
      <c r="M28" s="1"/>
      <c r="N28" s="1"/>
    </row>
    <row r="29" spans="1:14" ht="20.7" customHeight="1" x14ac:dyDescent="0.3">
      <c r="A29" s="3"/>
      <c r="B29" s="68" t="s">
        <v>21</v>
      </c>
      <c r="C29" s="27">
        <v>4000.73</v>
      </c>
      <c r="D29" s="127">
        <v>4177.29</v>
      </c>
      <c r="E29" s="267" t="s">
        <v>988</v>
      </c>
      <c r="F29" s="66"/>
      <c r="G29" s="1"/>
      <c r="H29" s="1"/>
      <c r="I29" s="1"/>
      <c r="J29" s="1"/>
      <c r="K29" s="1"/>
      <c r="L29" s="1"/>
      <c r="M29" s="1"/>
      <c r="N29" s="1"/>
    </row>
    <row r="30" spans="1:14" ht="21" x14ac:dyDescent="0.3">
      <c r="A30" s="3"/>
      <c r="B30" s="68" t="s">
        <v>23</v>
      </c>
      <c r="C30" s="27">
        <v>18.760000000000002</v>
      </c>
      <c r="D30" s="27">
        <v>-202.64</v>
      </c>
      <c r="E30" s="268"/>
      <c r="F30" s="66"/>
      <c r="G30" s="1"/>
      <c r="H30" s="1"/>
      <c r="I30" s="1"/>
      <c r="J30" s="1"/>
      <c r="K30" s="1"/>
      <c r="L30" s="1"/>
      <c r="M30" s="1"/>
      <c r="N30" s="1"/>
    </row>
    <row r="31" spans="1:14" ht="21" x14ac:dyDescent="0.3">
      <c r="A31" s="3"/>
      <c r="B31" s="68" t="s">
        <v>24</v>
      </c>
      <c r="C31" s="27">
        <v>314.27999999999997</v>
      </c>
      <c r="D31" s="27">
        <v>314.27999999999997</v>
      </c>
      <c r="E31" s="268"/>
      <c r="F31" s="66"/>
      <c r="G31" s="1"/>
      <c r="H31" s="57"/>
      <c r="I31" s="1"/>
      <c r="J31" s="1"/>
      <c r="K31" s="1"/>
      <c r="L31" s="1"/>
      <c r="M31" s="1"/>
      <c r="N31" s="1"/>
    </row>
    <row r="32" spans="1:14" ht="21" x14ac:dyDescent="0.3">
      <c r="A32" s="3"/>
      <c r="B32" s="68" t="s">
        <v>25</v>
      </c>
      <c r="C32" s="50">
        <v>723.2</v>
      </c>
      <c r="D32" s="27">
        <v>520.53</v>
      </c>
      <c r="E32" s="269"/>
      <c r="F32" s="66"/>
      <c r="G32" s="1"/>
      <c r="H32" s="1"/>
      <c r="I32" s="1"/>
      <c r="J32" s="1"/>
      <c r="K32" s="1"/>
      <c r="L32" s="1"/>
      <c r="M32" s="1"/>
      <c r="N32" s="1"/>
    </row>
    <row r="33" spans="1:14" ht="21" x14ac:dyDescent="0.3">
      <c r="A33" s="3"/>
      <c r="B33" s="253" t="s">
        <v>800</v>
      </c>
      <c r="C33" s="270"/>
      <c r="D33" s="270"/>
      <c r="E33" s="254"/>
      <c r="F33" s="66"/>
      <c r="G33" s="1"/>
      <c r="H33" s="1"/>
      <c r="I33" s="1"/>
      <c r="J33" s="1"/>
      <c r="K33" s="1"/>
      <c r="L33" s="1"/>
      <c r="M33" s="1"/>
      <c r="N33" s="1"/>
    </row>
    <row r="34" spans="1:14" ht="75" customHeight="1" x14ac:dyDescent="0.3">
      <c r="A34" s="3"/>
      <c r="B34" s="403" t="s">
        <v>998</v>
      </c>
      <c r="C34" s="403"/>
      <c r="D34" s="403"/>
      <c r="E34" s="403"/>
      <c r="F34" s="66"/>
      <c r="G34" s="1"/>
      <c r="H34" s="1"/>
      <c r="I34" s="1"/>
      <c r="J34" s="1"/>
      <c r="K34" s="1"/>
      <c r="L34" s="1"/>
      <c r="M34" s="1"/>
      <c r="N34" s="1"/>
    </row>
    <row r="35" spans="1:14" ht="21" x14ac:dyDescent="0.3">
      <c r="A35" s="3"/>
      <c r="B35" s="10"/>
      <c r="C35" s="66"/>
      <c r="D35" s="66"/>
      <c r="E35" s="66"/>
      <c r="F35" s="66"/>
      <c r="G35" s="1"/>
      <c r="H35" s="1"/>
      <c r="I35" s="1"/>
      <c r="J35" s="1"/>
      <c r="K35" s="1"/>
      <c r="L35" s="1"/>
      <c r="M35" s="1"/>
      <c r="N35" s="1"/>
    </row>
    <row r="36" spans="1:14" ht="41.7" customHeight="1" x14ac:dyDescent="0.3">
      <c r="A36" s="3">
        <v>7</v>
      </c>
      <c r="B36" s="261" t="s">
        <v>26</v>
      </c>
      <c r="C36" s="262"/>
      <c r="D36" s="262"/>
      <c r="E36" s="263"/>
      <c r="F36" s="2"/>
      <c r="G36" s="2"/>
      <c r="H36" s="2"/>
      <c r="I36" s="2"/>
      <c r="J36" s="2"/>
      <c r="K36" s="1"/>
      <c r="L36" s="1"/>
      <c r="M36" s="1"/>
      <c r="N36" s="1"/>
    </row>
    <row r="37" spans="1:14" ht="21" x14ac:dyDescent="0.3">
      <c r="A37" s="3"/>
      <c r="B37" s="67" t="s">
        <v>247</v>
      </c>
      <c r="C37" s="258" t="s">
        <v>93</v>
      </c>
      <c r="D37" s="259"/>
      <c r="E37" s="260"/>
      <c r="F37" s="10"/>
      <c r="G37" s="1"/>
      <c r="H37" s="1"/>
      <c r="I37" s="1"/>
      <c r="J37" s="1"/>
      <c r="K37" s="1"/>
      <c r="L37" s="1"/>
      <c r="M37" s="1"/>
      <c r="N37" s="1"/>
    </row>
    <row r="38" spans="1:14" ht="21" x14ac:dyDescent="0.3">
      <c r="A38" s="3"/>
      <c r="B38" s="67" t="s">
        <v>28</v>
      </c>
      <c r="C38" s="258" t="s">
        <v>93</v>
      </c>
      <c r="D38" s="259"/>
      <c r="E38" s="260"/>
      <c r="F38" s="10"/>
      <c r="G38" s="1"/>
      <c r="H38" s="1"/>
      <c r="I38" s="1"/>
      <c r="J38" s="1"/>
      <c r="K38" s="1"/>
      <c r="L38" s="1"/>
      <c r="M38" s="1"/>
      <c r="N38" s="1"/>
    </row>
    <row r="39" spans="1:14" ht="21" x14ac:dyDescent="0.3">
      <c r="A39" s="3"/>
      <c r="B39" s="67" t="s">
        <v>29</v>
      </c>
      <c r="C39" s="258" t="s">
        <v>93</v>
      </c>
      <c r="D39" s="259"/>
      <c r="E39" s="260"/>
      <c r="F39" s="10"/>
      <c r="G39" s="1"/>
      <c r="H39" s="1"/>
      <c r="I39" s="1"/>
      <c r="J39" s="1"/>
      <c r="K39" s="1"/>
      <c r="L39" s="1"/>
      <c r="M39" s="1"/>
      <c r="N39" s="1"/>
    </row>
    <row r="40" spans="1:14" ht="42" customHeight="1" x14ac:dyDescent="0.3">
      <c r="A40" s="3"/>
      <c r="B40" s="271" t="s">
        <v>370</v>
      </c>
      <c r="C40" s="271"/>
      <c r="D40" s="271"/>
      <c r="E40" s="10"/>
      <c r="F40" s="10"/>
      <c r="G40" s="1"/>
      <c r="H40" s="1"/>
      <c r="I40" s="1"/>
      <c r="J40" s="1"/>
      <c r="K40" s="1"/>
      <c r="L40" s="1"/>
      <c r="M40" s="1"/>
      <c r="N40" s="1"/>
    </row>
    <row r="41" spans="1:14" ht="21" x14ac:dyDescent="0.3">
      <c r="A41" s="3"/>
      <c r="B41" s="66"/>
      <c r="C41" s="10"/>
      <c r="D41" s="10"/>
      <c r="E41" s="10"/>
      <c r="F41" s="10"/>
      <c r="G41" s="1"/>
      <c r="H41" s="1"/>
      <c r="I41" s="1"/>
      <c r="J41" s="1"/>
      <c r="K41" s="1"/>
      <c r="L41" s="1"/>
      <c r="M41" s="1"/>
      <c r="N41" s="1"/>
    </row>
    <row r="42" spans="1:14" ht="21" x14ac:dyDescent="0.3">
      <c r="A42" s="3">
        <v>8</v>
      </c>
      <c r="B42" s="261" t="s">
        <v>30</v>
      </c>
      <c r="C42" s="262"/>
      <c r="D42" s="262"/>
      <c r="E42" s="263"/>
      <c r="F42" s="2"/>
      <c r="G42" s="2"/>
      <c r="H42" s="2"/>
      <c r="I42" s="2"/>
      <c r="J42" s="2"/>
      <c r="K42" s="1"/>
      <c r="L42" s="1"/>
      <c r="M42" s="1"/>
      <c r="N42" s="1"/>
    </row>
    <row r="43" spans="1:14" ht="38.4" customHeight="1" x14ac:dyDescent="0.3">
      <c r="A43" s="3"/>
      <c r="B43" s="67" t="s">
        <v>31</v>
      </c>
      <c r="C43" s="258" t="s">
        <v>85</v>
      </c>
      <c r="D43" s="259"/>
      <c r="E43" s="260"/>
      <c r="F43" s="10"/>
      <c r="G43" s="1"/>
      <c r="H43" s="1"/>
      <c r="I43" s="1"/>
      <c r="J43" s="1"/>
      <c r="K43" s="1"/>
      <c r="L43" s="1"/>
      <c r="M43" s="1"/>
      <c r="N43" s="1"/>
    </row>
    <row r="44" spans="1:14" ht="139.5" customHeight="1" x14ac:dyDescent="0.3">
      <c r="A44" s="3"/>
      <c r="B44" s="67" t="s">
        <v>28</v>
      </c>
      <c r="C44" s="258" t="s">
        <v>708</v>
      </c>
      <c r="D44" s="259"/>
      <c r="E44" s="260"/>
      <c r="F44" s="10"/>
      <c r="G44" s="1"/>
      <c r="H44" s="1"/>
      <c r="I44" s="1"/>
      <c r="J44" s="1"/>
      <c r="K44" s="1"/>
      <c r="L44" s="1"/>
      <c r="M44" s="1"/>
      <c r="N44" s="1"/>
    </row>
    <row r="45" spans="1:14" ht="21" x14ac:dyDescent="0.3">
      <c r="A45" s="3"/>
      <c r="B45" s="67" t="s">
        <v>29</v>
      </c>
      <c r="C45" s="258" t="s">
        <v>912</v>
      </c>
      <c r="D45" s="259"/>
      <c r="E45" s="260"/>
      <c r="F45" s="10"/>
      <c r="G45" s="1"/>
      <c r="H45" s="1"/>
      <c r="I45" s="1"/>
      <c r="J45" s="1"/>
      <c r="K45" s="1"/>
      <c r="L45" s="1"/>
      <c r="M45" s="1"/>
      <c r="N45" s="1"/>
    </row>
    <row r="46" spans="1:14" ht="21" x14ac:dyDescent="0.3">
      <c r="A46" s="3"/>
      <c r="B46" s="253" t="s">
        <v>802</v>
      </c>
      <c r="C46" s="270"/>
      <c r="D46" s="270"/>
      <c r="E46" s="254"/>
      <c r="F46" s="10"/>
      <c r="G46" s="1"/>
      <c r="H46" s="1"/>
      <c r="I46" s="1"/>
      <c r="J46" s="1"/>
      <c r="K46" s="1"/>
      <c r="L46" s="1"/>
      <c r="M46" s="1"/>
      <c r="N46" s="1"/>
    </row>
    <row r="47" spans="1:14" ht="21" x14ac:dyDescent="0.3">
      <c r="A47" s="3"/>
      <c r="B47" s="1"/>
      <c r="C47" s="1"/>
      <c r="D47" s="22"/>
      <c r="E47" s="10"/>
      <c r="F47" s="1"/>
      <c r="G47" s="1"/>
      <c r="H47" s="1"/>
      <c r="I47" s="1"/>
      <c r="J47" s="1"/>
      <c r="K47" s="1"/>
      <c r="L47" s="1"/>
      <c r="M47" s="1"/>
      <c r="N47" s="1"/>
    </row>
    <row r="48" spans="1:14" ht="83.4" customHeight="1" x14ac:dyDescent="0.3">
      <c r="A48" s="191">
        <v>9</v>
      </c>
      <c r="B48" s="262" t="s">
        <v>32</v>
      </c>
      <c r="C48" s="262"/>
      <c r="D48" s="262"/>
      <c r="E48" s="263"/>
      <c r="F48" s="2"/>
      <c r="G48" s="2"/>
      <c r="H48" s="2"/>
      <c r="I48" s="2"/>
      <c r="J48" s="1"/>
      <c r="K48" s="1"/>
      <c r="L48" s="1"/>
      <c r="M48" s="1"/>
      <c r="N48" s="1"/>
    </row>
    <row r="49" spans="1:14" ht="81.599999999999994" x14ac:dyDescent="0.3">
      <c r="A49" s="191"/>
      <c r="B49" s="24" t="s">
        <v>33</v>
      </c>
      <c r="C49" s="25" t="s">
        <v>34</v>
      </c>
      <c r="D49" s="25" t="s">
        <v>524</v>
      </c>
      <c r="E49" s="25" t="s">
        <v>35</v>
      </c>
      <c r="F49" s="1"/>
      <c r="G49" s="1"/>
      <c r="H49" s="1"/>
      <c r="I49" s="1"/>
      <c r="J49" s="1"/>
      <c r="K49" s="1"/>
      <c r="L49" s="1"/>
      <c r="M49" s="1"/>
      <c r="N49" s="1"/>
    </row>
    <row r="50" spans="1:14" ht="166.2" customHeight="1" x14ac:dyDescent="0.3">
      <c r="A50" s="191"/>
      <c r="B50" s="189" t="s">
        <v>369</v>
      </c>
      <c r="C50" s="27" t="s">
        <v>749</v>
      </c>
      <c r="D50" s="27" t="s">
        <v>709</v>
      </c>
      <c r="E50" s="27" t="s">
        <v>50</v>
      </c>
      <c r="F50" s="1"/>
      <c r="G50" s="1"/>
      <c r="H50" s="1"/>
      <c r="I50" s="1"/>
      <c r="J50" s="1"/>
      <c r="K50" s="1"/>
      <c r="L50" s="1"/>
      <c r="M50" s="1"/>
      <c r="N50" s="1"/>
    </row>
    <row r="51" spans="1:14" ht="21" x14ac:dyDescent="0.3">
      <c r="A51" s="191"/>
      <c r="B51" s="270"/>
      <c r="C51" s="270"/>
      <c r="D51" s="270"/>
      <c r="E51" s="254"/>
      <c r="F51" s="1"/>
      <c r="G51" s="1"/>
      <c r="H51" s="1"/>
      <c r="I51" s="1"/>
      <c r="J51" s="1"/>
      <c r="K51" s="1"/>
      <c r="L51" s="1"/>
      <c r="M51" s="1"/>
      <c r="N51" s="1"/>
    </row>
    <row r="52" spans="1:14" ht="21" x14ac:dyDescent="0.3">
      <c r="A52" s="191"/>
      <c r="B52" s="216" t="s">
        <v>806</v>
      </c>
      <c r="C52" s="83"/>
      <c r="D52" s="83"/>
      <c r="E52" s="87"/>
      <c r="F52" s="1"/>
      <c r="G52" s="1"/>
      <c r="H52" s="1"/>
      <c r="I52" s="1"/>
      <c r="J52" s="1"/>
      <c r="K52" s="1"/>
      <c r="L52" s="1"/>
      <c r="M52" s="1"/>
      <c r="N52" s="1"/>
    </row>
    <row r="53" spans="1:14" ht="21" x14ac:dyDescent="0.3">
      <c r="A53" s="191"/>
      <c r="B53" s="28"/>
      <c r="C53" s="22"/>
      <c r="D53" s="22"/>
      <c r="E53" s="22"/>
      <c r="F53" s="66"/>
      <c r="G53" s="66"/>
      <c r="H53" s="66"/>
      <c r="I53" s="66"/>
      <c r="J53" s="1"/>
      <c r="K53" s="1"/>
      <c r="L53" s="1"/>
      <c r="M53" s="1"/>
      <c r="N53" s="1"/>
    </row>
    <row r="54" spans="1:14" ht="43.2" customHeight="1" x14ac:dyDescent="0.3">
      <c r="A54" s="191">
        <v>10</v>
      </c>
      <c r="B54" s="262" t="s">
        <v>32</v>
      </c>
      <c r="C54" s="262"/>
      <c r="D54" s="262"/>
      <c r="E54" s="263"/>
      <c r="F54" s="66"/>
      <c r="G54" s="66"/>
      <c r="H54" s="66"/>
      <c r="I54" s="1"/>
      <c r="J54" s="1"/>
      <c r="K54" s="1"/>
      <c r="L54" s="1"/>
      <c r="M54" s="1"/>
      <c r="N54" s="1"/>
    </row>
    <row r="55" spans="1:14" ht="21" x14ac:dyDescent="0.3">
      <c r="A55" s="191"/>
      <c r="B55" s="275" t="s">
        <v>36</v>
      </c>
      <c r="C55" s="277" t="s">
        <v>750</v>
      </c>
      <c r="D55" s="278"/>
      <c r="E55" s="279"/>
      <c r="F55" s="1"/>
      <c r="G55" s="1"/>
      <c r="H55" s="1"/>
      <c r="I55" s="1"/>
      <c r="J55" s="1"/>
      <c r="K55" s="2"/>
      <c r="L55" s="1"/>
      <c r="M55" s="1"/>
      <c r="N55" s="1"/>
    </row>
    <row r="56" spans="1:14" ht="100.2" customHeight="1" x14ac:dyDescent="0.3">
      <c r="A56" s="191"/>
      <c r="B56" s="276"/>
      <c r="C56" s="280"/>
      <c r="D56" s="281"/>
      <c r="E56" s="282"/>
      <c r="F56" s="1"/>
      <c r="G56" s="1"/>
      <c r="H56" s="1"/>
      <c r="I56" s="1"/>
      <c r="J56" s="1"/>
      <c r="K56" s="2"/>
      <c r="L56" s="1"/>
      <c r="M56" s="1"/>
      <c r="N56" s="1"/>
    </row>
    <row r="57" spans="1:14" ht="123.6" customHeight="1" x14ac:dyDescent="0.3">
      <c r="A57" s="191"/>
      <c r="B57" s="29" t="s">
        <v>37</v>
      </c>
      <c r="C57" s="283" t="s">
        <v>709</v>
      </c>
      <c r="D57" s="284"/>
      <c r="E57" s="285"/>
      <c r="F57" s="1"/>
      <c r="G57" s="1"/>
      <c r="H57" s="1"/>
      <c r="I57" s="1"/>
      <c r="J57" s="1"/>
      <c r="K57" s="1"/>
      <c r="L57" s="1"/>
      <c r="M57" s="1"/>
      <c r="N57" s="1"/>
    </row>
    <row r="58" spans="1:14" ht="21" x14ac:dyDescent="0.3">
      <c r="A58" s="191"/>
      <c r="B58" s="29" t="s">
        <v>38</v>
      </c>
      <c r="C58" s="286" t="s">
        <v>50</v>
      </c>
      <c r="D58" s="287"/>
      <c r="E58" s="288"/>
      <c r="F58" s="1"/>
      <c r="G58" s="1"/>
      <c r="H58" s="1"/>
      <c r="I58" s="1"/>
      <c r="J58" s="1"/>
      <c r="K58" s="30"/>
      <c r="L58" s="1"/>
      <c r="M58" s="1"/>
      <c r="N58" s="1"/>
    </row>
    <row r="59" spans="1:14" ht="21" hidden="1" x14ac:dyDescent="0.4">
      <c r="A59" s="123" t="s">
        <v>39</v>
      </c>
      <c r="B59" s="289" t="s">
        <v>710</v>
      </c>
      <c r="C59" s="290"/>
      <c r="D59" s="290"/>
      <c r="E59" s="291"/>
      <c r="F59" s="32"/>
      <c r="G59" s="32"/>
      <c r="H59" s="32"/>
      <c r="I59" s="32"/>
      <c r="J59" s="32"/>
      <c r="K59" s="32"/>
      <c r="L59" s="32"/>
      <c r="M59" s="32"/>
      <c r="N59" s="32"/>
    </row>
    <row r="60" spans="1:14" ht="21" x14ac:dyDescent="0.3">
      <c r="A60" s="71"/>
      <c r="B60" s="72"/>
      <c r="C60" s="73"/>
      <c r="D60" s="73"/>
      <c r="E60" s="73"/>
      <c r="F60" s="73"/>
      <c r="G60" s="1"/>
      <c r="H60" s="1"/>
      <c r="I60" s="1"/>
      <c r="J60" s="1"/>
      <c r="K60" s="1"/>
      <c r="L60" s="1"/>
      <c r="M60" s="1"/>
      <c r="N60" s="1"/>
    </row>
    <row r="61" spans="1:14" ht="21" x14ac:dyDescent="0.3">
      <c r="A61" s="3">
        <v>11</v>
      </c>
      <c r="B61" s="54" t="s">
        <v>41</v>
      </c>
      <c r="C61" s="270" t="s">
        <v>121</v>
      </c>
      <c r="D61" s="270"/>
      <c r="E61" s="270"/>
      <c r="F61" s="2"/>
      <c r="G61" s="2"/>
      <c r="H61" s="74"/>
      <c r="I61" s="2"/>
      <c r="J61" s="2"/>
      <c r="K61" s="1"/>
      <c r="L61" s="1"/>
      <c r="M61" s="1"/>
      <c r="N61" s="1"/>
    </row>
    <row r="62" spans="1:14" ht="20.7" customHeight="1" x14ac:dyDescent="0.3">
      <c r="A62" s="3"/>
      <c r="B62" s="66"/>
      <c r="C62" s="270"/>
      <c r="D62" s="270"/>
      <c r="E62" s="270"/>
      <c r="F62" s="66"/>
      <c r="G62" s="66"/>
      <c r="H62" s="75"/>
      <c r="I62" s="75"/>
      <c r="J62" s="66"/>
      <c r="K62" s="1"/>
      <c r="L62" s="1"/>
      <c r="M62" s="1"/>
      <c r="N62" s="1"/>
    </row>
    <row r="63" spans="1:14" ht="21" x14ac:dyDescent="0.3">
      <c r="A63" s="76">
        <v>12</v>
      </c>
      <c r="B63" s="77" t="s">
        <v>42</v>
      </c>
      <c r="C63" s="272"/>
      <c r="D63" s="273"/>
      <c r="E63" s="274"/>
      <c r="F63" s="78"/>
      <c r="G63" s="79"/>
      <c r="H63" s="79"/>
      <c r="I63" s="79"/>
      <c r="J63" s="79"/>
      <c r="K63" s="79"/>
      <c r="L63" s="79"/>
      <c r="M63" s="79"/>
      <c r="N63" s="79"/>
    </row>
    <row r="64" spans="1:14" ht="20.399999999999999" x14ac:dyDescent="0.3">
      <c r="A64" s="3"/>
      <c r="B64" s="2"/>
      <c r="C64" s="2"/>
      <c r="D64" s="2"/>
      <c r="E64" s="74"/>
      <c r="F64" s="74"/>
      <c r="G64" s="74"/>
      <c r="H64" s="2"/>
      <c r="I64" s="2"/>
      <c r="J64" s="2"/>
      <c r="K64" s="2"/>
      <c r="L64" s="2"/>
      <c r="M64" s="2"/>
      <c r="N64" s="2"/>
    </row>
    <row r="65" spans="1:14" ht="21" x14ac:dyDescent="0.3">
      <c r="A65" s="3"/>
      <c r="B65" s="67" t="s">
        <v>43</v>
      </c>
      <c r="C65" s="68" t="s">
        <v>371</v>
      </c>
      <c r="D65" s="66"/>
      <c r="E65" s="66"/>
      <c r="F65" s="75"/>
      <c r="G65" s="75"/>
      <c r="H65" s="66"/>
      <c r="I65" s="66"/>
      <c r="J65" s="66"/>
      <c r="K65" s="66"/>
      <c r="L65" s="66"/>
      <c r="M65" s="66"/>
      <c r="N65" s="66"/>
    </row>
    <row r="66" spans="1:14" ht="20.399999999999999" x14ac:dyDescent="0.3">
      <c r="A66" s="3"/>
      <c r="B66" s="66"/>
      <c r="C66" s="66"/>
      <c r="D66" s="66"/>
      <c r="E66" s="66"/>
      <c r="F66" s="66"/>
      <c r="G66" s="66"/>
      <c r="H66" s="66"/>
      <c r="I66" s="66"/>
      <c r="J66" s="66"/>
      <c r="K66" s="66"/>
      <c r="L66" s="66"/>
      <c r="M66" s="66"/>
      <c r="N66" s="66"/>
    </row>
    <row r="67" spans="1:14" ht="87.6" customHeight="1" x14ac:dyDescent="0.3">
      <c r="A67" s="3"/>
      <c r="B67" s="295" t="s">
        <v>44</v>
      </c>
      <c r="C67" s="295" t="s">
        <v>372</v>
      </c>
      <c r="D67" s="295" t="s">
        <v>68</v>
      </c>
      <c r="E67" s="297" t="s">
        <v>45</v>
      </c>
      <c r="F67" s="292" t="s">
        <v>254</v>
      </c>
      <c r="G67" s="293"/>
      <c r="H67" s="294"/>
      <c r="I67" s="292" t="s">
        <v>255</v>
      </c>
      <c r="J67" s="293"/>
      <c r="K67" s="294"/>
      <c r="L67" s="292" t="s">
        <v>197</v>
      </c>
      <c r="M67" s="293"/>
      <c r="N67" s="294"/>
    </row>
    <row r="68" spans="1:14" ht="61.2" x14ac:dyDescent="0.3">
      <c r="A68" s="3"/>
      <c r="B68" s="296"/>
      <c r="C68" s="296"/>
      <c r="D68" s="296"/>
      <c r="E68" s="298"/>
      <c r="F68" s="67" t="s">
        <v>46</v>
      </c>
      <c r="G68" s="67" t="s">
        <v>47</v>
      </c>
      <c r="H68" s="67" t="s">
        <v>48</v>
      </c>
      <c r="I68" s="67" t="s">
        <v>49</v>
      </c>
      <c r="J68" s="67" t="s">
        <v>47</v>
      </c>
      <c r="K68" s="67" t="s">
        <v>48</v>
      </c>
      <c r="L68" s="67" t="s">
        <v>49</v>
      </c>
      <c r="M68" s="67" t="s">
        <v>47</v>
      </c>
      <c r="N68" s="67" t="s">
        <v>48</v>
      </c>
    </row>
    <row r="69" spans="1:14" ht="105" customHeight="1" x14ac:dyDescent="0.3">
      <c r="A69" s="3"/>
      <c r="B69" s="67" t="s">
        <v>66</v>
      </c>
      <c r="C69" s="82">
        <v>180.75</v>
      </c>
      <c r="D69" s="82">
        <v>207</v>
      </c>
      <c r="E69" s="82">
        <v>261.35000000000002</v>
      </c>
      <c r="F69" s="121">
        <v>213.7</v>
      </c>
      <c r="G69" s="121">
        <v>279</v>
      </c>
      <c r="H69" s="121">
        <v>178.25</v>
      </c>
      <c r="I69" s="121">
        <v>49.2</v>
      </c>
      <c r="J69" s="121">
        <v>288.2</v>
      </c>
      <c r="K69" s="121">
        <v>37.700000000000003</v>
      </c>
      <c r="L69" s="121">
        <v>40.049999999999997</v>
      </c>
      <c r="M69" s="121">
        <v>125.2</v>
      </c>
      <c r="N69" s="121">
        <v>36.9</v>
      </c>
    </row>
    <row r="70" spans="1:14" ht="40.799999999999997" x14ac:dyDescent="0.3">
      <c r="A70" s="3"/>
      <c r="B70" s="69" t="s">
        <v>67</v>
      </c>
      <c r="C70" s="82">
        <v>21853.8</v>
      </c>
      <c r="D70" s="82">
        <v>22405.599999999999</v>
      </c>
      <c r="E70" s="82">
        <v>22648.2</v>
      </c>
      <c r="F70" s="121">
        <v>22326.9</v>
      </c>
      <c r="G70" s="121">
        <v>22526.6</v>
      </c>
      <c r="H70" s="121">
        <v>17312.75</v>
      </c>
      <c r="I70" s="121">
        <v>23519.35</v>
      </c>
      <c r="J70" s="121">
        <v>26277.35</v>
      </c>
      <c r="K70" s="121">
        <v>21281.45</v>
      </c>
      <c r="L70" s="121">
        <v>22331.4</v>
      </c>
      <c r="M70" s="121">
        <v>26373.200000000001</v>
      </c>
      <c r="N70" s="121">
        <v>21743.65</v>
      </c>
    </row>
    <row r="71" spans="1:14" ht="20.25" customHeight="1" x14ac:dyDescent="0.3">
      <c r="A71" s="3"/>
      <c r="B71" s="253" t="s">
        <v>99</v>
      </c>
      <c r="C71" s="270"/>
      <c r="D71" s="270"/>
      <c r="E71" s="270"/>
      <c r="F71" s="270"/>
      <c r="G71" s="270"/>
      <c r="H71" s="270"/>
      <c r="I71" s="270"/>
      <c r="J71" s="270"/>
      <c r="K71" s="270"/>
      <c r="L71" s="270"/>
      <c r="M71" s="270"/>
      <c r="N71" s="254"/>
    </row>
    <row r="72" spans="1:14" ht="20.25" customHeight="1" x14ac:dyDescent="0.3">
      <c r="A72" s="3"/>
      <c r="B72" s="253" t="s">
        <v>796</v>
      </c>
      <c r="C72" s="270"/>
      <c r="D72" s="270"/>
      <c r="E72" s="270"/>
      <c r="F72" s="254"/>
      <c r="G72" s="83"/>
      <c r="H72" s="83"/>
      <c r="I72" s="83"/>
      <c r="J72" s="83"/>
      <c r="K72" s="83"/>
      <c r="L72" s="83"/>
      <c r="M72" s="83"/>
      <c r="N72" s="83"/>
    </row>
    <row r="73" spans="1:14" ht="42.75" customHeight="1" x14ac:dyDescent="0.3">
      <c r="A73" s="3"/>
      <c r="B73" s="253" t="s">
        <v>989</v>
      </c>
      <c r="C73" s="270"/>
      <c r="D73" s="270"/>
      <c r="E73" s="270"/>
      <c r="F73" s="254"/>
      <c r="G73" s="83"/>
      <c r="H73" s="83"/>
      <c r="I73" s="83"/>
      <c r="J73" s="83"/>
      <c r="K73" s="83"/>
      <c r="L73" s="83"/>
      <c r="M73" s="83"/>
      <c r="N73" s="83"/>
    </row>
    <row r="74" spans="1:14" ht="21" x14ac:dyDescent="0.3">
      <c r="A74" s="3"/>
      <c r="B74" s="253" t="s">
        <v>71</v>
      </c>
      <c r="C74" s="270"/>
      <c r="D74" s="270"/>
      <c r="E74" s="270"/>
      <c r="F74" s="254"/>
      <c r="G74" s="83"/>
      <c r="H74" s="83"/>
      <c r="I74" s="83"/>
      <c r="J74" s="83"/>
      <c r="K74" s="83"/>
      <c r="L74" s="83"/>
      <c r="M74" s="83"/>
      <c r="N74" s="83"/>
    </row>
    <row r="75" spans="1:14" ht="21" x14ac:dyDescent="0.3">
      <c r="A75" s="3"/>
      <c r="B75" s="84"/>
      <c r="C75" s="84"/>
      <c r="D75" s="84"/>
      <c r="E75" s="84"/>
      <c r="F75" s="84"/>
      <c r="G75" s="10"/>
      <c r="H75" s="10"/>
      <c r="I75" s="10"/>
      <c r="J75" s="10"/>
      <c r="K75" s="10"/>
      <c r="L75" s="10"/>
      <c r="M75" s="10"/>
      <c r="N75" s="10"/>
    </row>
    <row r="76" spans="1:14" ht="39" customHeight="1" x14ac:dyDescent="0.3">
      <c r="A76" s="3">
        <v>13</v>
      </c>
      <c r="B76" s="261" t="s">
        <v>51</v>
      </c>
      <c r="C76" s="262"/>
      <c r="D76" s="262"/>
      <c r="E76" s="262"/>
      <c r="F76" s="262"/>
      <c r="G76" s="263"/>
      <c r="H76" s="2"/>
      <c r="I76" s="2"/>
      <c r="J76" s="2"/>
      <c r="K76" s="2"/>
      <c r="L76" s="2"/>
      <c r="M76" s="2"/>
      <c r="N76" s="2"/>
    </row>
    <row r="77" spans="1:14" ht="21" x14ac:dyDescent="0.3">
      <c r="A77" s="3"/>
      <c r="B77" s="1"/>
      <c r="C77" s="66"/>
      <c r="D77" s="66"/>
      <c r="E77" s="66"/>
      <c r="F77" s="66"/>
      <c r="G77" s="66"/>
      <c r="H77" s="66"/>
      <c r="I77" s="66"/>
      <c r="J77" s="66"/>
      <c r="K77" s="66"/>
      <c r="L77" s="66"/>
      <c r="M77" s="66"/>
      <c r="N77" s="66"/>
    </row>
    <row r="78" spans="1:14" ht="40.799999999999997" x14ac:dyDescent="0.3">
      <c r="A78" s="3"/>
      <c r="B78" s="25" t="s">
        <v>52</v>
      </c>
      <c r="C78" s="25" t="s">
        <v>53</v>
      </c>
      <c r="D78" s="25" t="s">
        <v>259</v>
      </c>
      <c r="E78" s="25" t="s">
        <v>54</v>
      </c>
      <c r="F78" s="25" t="s">
        <v>55</v>
      </c>
      <c r="G78" s="25" t="s">
        <v>56</v>
      </c>
      <c r="H78" s="10"/>
      <c r="I78" s="10"/>
      <c r="J78" s="10"/>
      <c r="K78" s="10"/>
      <c r="L78" s="10"/>
      <c r="M78" s="10"/>
      <c r="N78" s="10"/>
    </row>
    <row r="79" spans="1:14" ht="21" customHeight="1" x14ac:dyDescent="0.3">
      <c r="A79" s="3"/>
      <c r="B79" s="297" t="s">
        <v>72</v>
      </c>
      <c r="C79" s="54" t="s">
        <v>375</v>
      </c>
      <c r="D79" s="125">
        <v>5.93</v>
      </c>
      <c r="E79" s="90">
        <v>0.6</v>
      </c>
      <c r="F79" s="88">
        <v>6.45</v>
      </c>
      <c r="G79" s="311" t="s">
        <v>988</v>
      </c>
      <c r="H79" s="1"/>
      <c r="I79" s="1"/>
      <c r="J79" s="1"/>
      <c r="K79" s="1"/>
      <c r="L79" s="1"/>
      <c r="M79" s="1"/>
      <c r="N79" s="1"/>
    </row>
    <row r="80" spans="1:14" ht="21" customHeight="1" x14ac:dyDescent="0.3">
      <c r="A80" s="3"/>
      <c r="B80" s="309"/>
      <c r="C80" s="54" t="s">
        <v>237</v>
      </c>
      <c r="D80" s="125" t="s">
        <v>121</v>
      </c>
      <c r="E80" s="125" t="s">
        <v>121</v>
      </c>
      <c r="F80" s="125" t="s">
        <v>121</v>
      </c>
      <c r="G80" s="311"/>
      <c r="H80" s="1"/>
      <c r="I80" s="1"/>
      <c r="J80" s="1"/>
      <c r="K80" s="1"/>
      <c r="L80" s="1"/>
      <c r="M80" s="1"/>
      <c r="N80" s="1"/>
    </row>
    <row r="81" spans="1:14" ht="42" customHeight="1" x14ac:dyDescent="0.3">
      <c r="A81" s="3"/>
      <c r="B81" s="309"/>
      <c r="C81" s="5" t="s">
        <v>121</v>
      </c>
      <c r="D81" s="125" t="s">
        <v>121</v>
      </c>
      <c r="E81" s="125" t="s">
        <v>121</v>
      </c>
      <c r="F81" s="125" t="s">
        <v>121</v>
      </c>
      <c r="G81" s="311"/>
      <c r="H81" s="1"/>
      <c r="I81" s="1"/>
      <c r="J81" s="1"/>
      <c r="K81" s="1"/>
      <c r="L81" s="1"/>
      <c r="M81" s="1"/>
      <c r="N81" s="1"/>
    </row>
    <row r="82" spans="1:14" ht="42" customHeight="1" x14ac:dyDescent="0.3">
      <c r="A82" s="3"/>
      <c r="B82" s="298"/>
      <c r="C82" s="54" t="s">
        <v>295</v>
      </c>
      <c r="D82" s="125" t="s">
        <v>121</v>
      </c>
      <c r="E82" s="125" t="s">
        <v>121</v>
      </c>
      <c r="F82" s="125" t="s">
        <v>121</v>
      </c>
      <c r="G82" s="311"/>
      <c r="H82" s="1"/>
      <c r="I82" s="1"/>
      <c r="J82" s="1"/>
      <c r="K82" s="1"/>
      <c r="L82" s="1"/>
      <c r="M82" s="1"/>
      <c r="N82" s="1"/>
    </row>
    <row r="83" spans="1:14" ht="42" customHeight="1" x14ac:dyDescent="0.3">
      <c r="A83" s="3"/>
      <c r="B83" s="297" t="s">
        <v>59</v>
      </c>
      <c r="C83" s="54" t="s">
        <v>375</v>
      </c>
      <c r="D83" s="152">
        <v>8.65</v>
      </c>
      <c r="E83" s="90">
        <f>F69/E79</f>
        <v>356.16666666666669</v>
      </c>
      <c r="F83" s="90">
        <f>F69/F79</f>
        <v>33.131782945736433</v>
      </c>
      <c r="G83" s="311"/>
      <c r="H83" s="1"/>
      <c r="I83" s="1"/>
      <c r="J83" s="1"/>
      <c r="K83" s="1"/>
      <c r="L83" s="1"/>
      <c r="M83" s="1"/>
      <c r="N83" s="1"/>
    </row>
    <row r="84" spans="1:14" ht="42" customHeight="1" x14ac:dyDescent="0.3">
      <c r="A84" s="3"/>
      <c r="B84" s="309"/>
      <c r="C84" s="54" t="s">
        <v>237</v>
      </c>
      <c r="D84" s="125" t="s">
        <v>121</v>
      </c>
      <c r="E84" s="125" t="s">
        <v>121</v>
      </c>
      <c r="F84" s="125" t="s">
        <v>121</v>
      </c>
      <c r="G84" s="311"/>
      <c r="H84" s="1"/>
      <c r="I84" s="1"/>
      <c r="J84" s="1"/>
      <c r="K84" s="1"/>
      <c r="L84" s="1"/>
      <c r="M84" s="1"/>
      <c r="N84" s="1"/>
    </row>
    <row r="85" spans="1:14" ht="21" x14ac:dyDescent="0.3">
      <c r="A85" s="3"/>
      <c r="B85" s="309"/>
      <c r="C85" s="5" t="s">
        <v>121</v>
      </c>
      <c r="D85" s="125" t="s">
        <v>121</v>
      </c>
      <c r="E85" s="125" t="s">
        <v>121</v>
      </c>
      <c r="F85" s="125" t="s">
        <v>121</v>
      </c>
      <c r="G85" s="311"/>
      <c r="H85" s="1"/>
      <c r="I85" s="1"/>
      <c r="J85" s="1"/>
      <c r="K85" s="1"/>
      <c r="L85" s="1"/>
      <c r="M85" s="1"/>
      <c r="N85" s="1"/>
    </row>
    <row r="86" spans="1:14" ht="21" x14ac:dyDescent="0.3">
      <c r="A86" s="3"/>
      <c r="B86" s="298"/>
      <c r="C86" s="54" t="s">
        <v>295</v>
      </c>
      <c r="D86" s="125" t="s">
        <v>121</v>
      </c>
      <c r="E86" s="125" t="s">
        <v>121</v>
      </c>
      <c r="F86" s="125" t="s">
        <v>121</v>
      </c>
      <c r="G86" s="311"/>
      <c r="H86" s="1"/>
      <c r="I86" s="1"/>
      <c r="J86" s="1"/>
      <c r="K86" s="1"/>
      <c r="L86" s="1"/>
      <c r="M86" s="1"/>
      <c r="N86" s="1"/>
    </row>
    <row r="87" spans="1:14" ht="21" x14ac:dyDescent="0.3">
      <c r="A87" s="3"/>
      <c r="B87" s="297" t="s">
        <v>60</v>
      </c>
      <c r="C87" s="54" t="s">
        <v>375</v>
      </c>
      <c r="D87" s="126">
        <v>0.28129999999999999</v>
      </c>
      <c r="E87" s="110">
        <v>1.8100000000000002E-2</v>
      </c>
      <c r="F87" s="110">
        <v>-0.2427</v>
      </c>
      <c r="G87" s="311"/>
      <c r="H87" s="1"/>
      <c r="I87" s="1"/>
      <c r="J87" s="1"/>
      <c r="K87" s="1"/>
      <c r="L87" s="1"/>
      <c r="M87" s="1"/>
      <c r="N87" s="1"/>
    </row>
    <row r="88" spans="1:14" ht="21" x14ac:dyDescent="0.3">
      <c r="A88" s="3"/>
      <c r="B88" s="309"/>
      <c r="C88" s="54" t="s">
        <v>237</v>
      </c>
      <c r="D88" s="125" t="s">
        <v>121</v>
      </c>
      <c r="E88" s="125" t="s">
        <v>121</v>
      </c>
      <c r="F88" s="125" t="s">
        <v>121</v>
      </c>
      <c r="G88" s="311"/>
      <c r="H88" s="1"/>
      <c r="I88" s="1"/>
      <c r="J88" s="1"/>
      <c r="K88" s="1"/>
      <c r="L88" s="1"/>
      <c r="M88" s="1"/>
      <c r="N88" s="1"/>
    </row>
    <row r="89" spans="1:14" ht="21" x14ac:dyDescent="0.3">
      <c r="A89" s="3"/>
      <c r="B89" s="309"/>
      <c r="C89" s="5" t="s">
        <v>121</v>
      </c>
      <c r="D89" s="125" t="s">
        <v>121</v>
      </c>
      <c r="E89" s="125" t="s">
        <v>121</v>
      </c>
      <c r="F89" s="125" t="s">
        <v>121</v>
      </c>
      <c r="G89" s="311"/>
      <c r="H89" s="1"/>
      <c r="I89" s="1"/>
      <c r="J89" s="1"/>
      <c r="K89" s="1"/>
      <c r="L89" s="1"/>
      <c r="M89" s="1"/>
      <c r="N89" s="1"/>
    </row>
    <row r="90" spans="1:14" ht="21" x14ac:dyDescent="0.3">
      <c r="A90" s="3"/>
      <c r="B90" s="298"/>
      <c r="C90" s="54" t="s">
        <v>295</v>
      </c>
      <c r="D90" s="125" t="s">
        <v>121</v>
      </c>
      <c r="E90" s="125" t="s">
        <v>121</v>
      </c>
      <c r="F90" s="125" t="s">
        <v>121</v>
      </c>
      <c r="G90" s="311"/>
      <c r="H90" s="1"/>
      <c r="I90" s="1"/>
      <c r="J90" s="1"/>
      <c r="K90" s="1"/>
      <c r="L90" s="1"/>
      <c r="M90" s="1"/>
      <c r="N90" s="1"/>
    </row>
    <row r="91" spans="1:14" ht="21" x14ac:dyDescent="0.3">
      <c r="A91" s="3"/>
      <c r="B91" s="310" t="s">
        <v>61</v>
      </c>
      <c r="C91" s="54" t="s">
        <v>375</v>
      </c>
      <c r="D91" s="125">
        <v>16.29</v>
      </c>
      <c r="E91" s="88">
        <v>33.020000000000003</v>
      </c>
      <c r="F91" s="88">
        <v>26.56</v>
      </c>
      <c r="G91" s="311"/>
      <c r="H91" s="1"/>
      <c r="I91" s="1"/>
      <c r="J91" s="1"/>
      <c r="K91" s="1"/>
      <c r="L91" s="1"/>
      <c r="M91" s="1"/>
      <c r="N91" s="1"/>
    </row>
    <row r="92" spans="1:14" ht="21" x14ac:dyDescent="0.3">
      <c r="A92" s="3"/>
      <c r="B92" s="310"/>
      <c r="C92" s="54" t="s">
        <v>237</v>
      </c>
      <c r="D92" s="125" t="s">
        <v>121</v>
      </c>
      <c r="E92" s="125" t="s">
        <v>121</v>
      </c>
      <c r="F92" s="125" t="s">
        <v>121</v>
      </c>
      <c r="G92" s="311"/>
      <c r="H92" s="1"/>
      <c r="I92" s="1"/>
      <c r="J92" s="1"/>
      <c r="K92" s="1"/>
      <c r="L92" s="1"/>
      <c r="M92" s="1"/>
      <c r="N92" s="1"/>
    </row>
    <row r="93" spans="1:14" ht="21" x14ac:dyDescent="0.3">
      <c r="A93" s="3"/>
      <c r="B93" s="310"/>
      <c r="C93" s="5" t="s">
        <v>121</v>
      </c>
      <c r="D93" s="125" t="s">
        <v>121</v>
      </c>
      <c r="E93" s="125" t="s">
        <v>121</v>
      </c>
      <c r="F93" s="125" t="s">
        <v>121</v>
      </c>
      <c r="G93" s="311"/>
      <c r="H93" s="1"/>
      <c r="I93" s="1"/>
      <c r="J93" s="1"/>
      <c r="K93" s="1"/>
      <c r="L93" s="1"/>
      <c r="M93" s="1"/>
      <c r="N93" s="1"/>
    </row>
    <row r="94" spans="1:14" ht="21" x14ac:dyDescent="0.3">
      <c r="A94" s="3"/>
      <c r="B94" s="301"/>
      <c r="C94" s="302"/>
      <c r="D94" s="302"/>
      <c r="E94" s="302"/>
      <c r="F94" s="302"/>
      <c r="G94" s="303"/>
      <c r="H94" s="1"/>
      <c r="I94" s="1"/>
      <c r="J94" s="1"/>
      <c r="K94" s="1"/>
      <c r="L94" s="1"/>
      <c r="M94" s="1"/>
      <c r="N94" s="1"/>
    </row>
    <row r="95" spans="1:14" ht="67.2" customHeight="1" x14ac:dyDescent="0.3">
      <c r="A95" s="2"/>
      <c r="B95" s="253" t="s">
        <v>998</v>
      </c>
      <c r="C95" s="270"/>
      <c r="D95" s="270"/>
      <c r="E95" s="270"/>
      <c r="F95" s="270"/>
      <c r="G95" s="254"/>
      <c r="H95" s="2"/>
      <c r="I95" s="2"/>
      <c r="J95" s="2"/>
      <c r="K95" s="2"/>
      <c r="L95" s="2"/>
      <c r="M95" s="2"/>
      <c r="N95" s="2"/>
    </row>
    <row r="96" spans="1:14" ht="21" x14ac:dyDescent="0.3">
      <c r="A96" s="3"/>
      <c r="B96" s="304" t="s">
        <v>577</v>
      </c>
      <c r="C96" s="242"/>
      <c r="D96" s="242"/>
      <c r="E96" s="242"/>
      <c r="F96" s="242"/>
      <c r="G96" s="305"/>
      <c r="H96" s="1"/>
      <c r="I96" s="1"/>
      <c r="J96" s="1"/>
      <c r="K96" s="1"/>
      <c r="L96" s="1"/>
      <c r="M96" s="1"/>
      <c r="N96" s="1"/>
    </row>
    <row r="97" spans="1:14" ht="46.8" customHeight="1" x14ac:dyDescent="0.3">
      <c r="A97" s="3"/>
      <c r="B97" s="242" t="s">
        <v>990</v>
      </c>
      <c r="C97" s="242"/>
      <c r="D97" s="242"/>
      <c r="E97" s="242"/>
      <c r="F97" s="242"/>
      <c r="G97" s="242"/>
      <c r="H97" s="1"/>
      <c r="I97" s="1"/>
      <c r="J97" s="1"/>
      <c r="K97" s="1"/>
      <c r="L97" s="1"/>
      <c r="M97" s="1"/>
      <c r="N97" s="1"/>
    </row>
    <row r="98" spans="1:14" ht="21" x14ac:dyDescent="0.3">
      <c r="A98" s="1"/>
      <c r="B98" s="1"/>
      <c r="C98" s="306"/>
      <c r="D98" s="306"/>
      <c r="E98" s="306"/>
      <c r="F98" s="306"/>
      <c r="G98" s="306"/>
      <c r="H98" s="1"/>
      <c r="I98" s="1"/>
      <c r="J98" s="1"/>
      <c r="K98" s="1"/>
      <c r="L98" s="1"/>
      <c r="M98" s="1"/>
      <c r="N98" s="1"/>
    </row>
    <row r="99" spans="1:14" ht="21" x14ac:dyDescent="0.3">
      <c r="A99" s="3">
        <v>14</v>
      </c>
      <c r="B99" s="54" t="s">
        <v>63</v>
      </c>
      <c r="C99" s="307" t="s">
        <v>50</v>
      </c>
      <c r="D99" s="308"/>
      <c r="E99" s="308"/>
      <c r="F99" s="308"/>
      <c r="G99" s="249"/>
      <c r="H99" s="1"/>
      <c r="I99" s="1"/>
      <c r="J99" s="1"/>
      <c r="K99" s="1"/>
      <c r="L99" s="1"/>
      <c r="M99" s="1"/>
      <c r="N99" s="1"/>
    </row>
    <row r="100" spans="1:14" ht="21" x14ac:dyDescent="0.3">
      <c r="A100" s="1"/>
      <c r="B100" s="1"/>
      <c r="C100" s="55"/>
      <c r="D100" s="55"/>
      <c r="E100" s="55"/>
      <c r="F100" s="55"/>
      <c r="G100" s="55"/>
      <c r="H100" s="1"/>
      <c r="I100" s="1"/>
      <c r="J100" s="1"/>
      <c r="K100" s="1"/>
      <c r="L100" s="1"/>
      <c r="M100" s="1"/>
      <c r="N100" s="1"/>
    </row>
    <row r="101" spans="1:14" ht="21" x14ac:dyDescent="0.3">
      <c r="A101" s="1"/>
      <c r="B101" s="299" t="s">
        <v>373</v>
      </c>
      <c r="C101" s="299"/>
      <c r="D101" s="299"/>
      <c r="E101" s="299"/>
      <c r="F101" s="299"/>
      <c r="G101" s="299"/>
      <c r="H101" s="299"/>
      <c r="I101" s="1"/>
      <c r="J101" s="1"/>
      <c r="K101" s="1"/>
      <c r="L101" s="1"/>
      <c r="M101" s="1"/>
      <c r="N101" s="1"/>
    </row>
  </sheetData>
  <mergeCells count="67">
    <mergeCell ref="B97:G97"/>
    <mergeCell ref="B101:H101"/>
    <mergeCell ref="C3:E3"/>
    <mergeCell ref="B94:G94"/>
    <mergeCell ref="B95:G95"/>
    <mergeCell ref="B96:G96"/>
    <mergeCell ref="C98:G98"/>
    <mergeCell ref="C99:G99"/>
    <mergeCell ref="B73:F73"/>
    <mergeCell ref="B74:F74"/>
    <mergeCell ref="B76:G76"/>
    <mergeCell ref="B79:B82"/>
    <mergeCell ref="B83:B86"/>
    <mergeCell ref="B87:B90"/>
    <mergeCell ref="B91:B93"/>
    <mergeCell ref="G79:G93"/>
    <mergeCell ref="L67:N67"/>
    <mergeCell ref="B71:N71"/>
    <mergeCell ref="B72:F72"/>
    <mergeCell ref="B67:B68"/>
    <mergeCell ref="C67:C68"/>
    <mergeCell ref="D67:D68"/>
    <mergeCell ref="E67:E68"/>
    <mergeCell ref="F67:H67"/>
    <mergeCell ref="I67:K67"/>
    <mergeCell ref="C63:E63"/>
    <mergeCell ref="C45:E45"/>
    <mergeCell ref="B46:E46"/>
    <mergeCell ref="B48:E48"/>
    <mergeCell ref="B51:E51"/>
    <mergeCell ref="B54:E54"/>
    <mergeCell ref="B55:B56"/>
    <mergeCell ref="C55:E56"/>
    <mergeCell ref="C57:E57"/>
    <mergeCell ref="C58:E58"/>
    <mergeCell ref="B59:E59"/>
    <mergeCell ref="C61:E61"/>
    <mergeCell ref="C62:E62"/>
    <mergeCell ref="C44:E44"/>
    <mergeCell ref="C22:E22"/>
    <mergeCell ref="C23:E23"/>
    <mergeCell ref="C24:E24"/>
    <mergeCell ref="B26:E26"/>
    <mergeCell ref="B27:E27"/>
    <mergeCell ref="E29:E32"/>
    <mergeCell ref="B33:E33"/>
    <mergeCell ref="B36:E36"/>
    <mergeCell ref="B40:D40"/>
    <mergeCell ref="B42:E42"/>
    <mergeCell ref="C43:E43"/>
    <mergeCell ref="B25:E25"/>
    <mergeCell ref="C37:E37"/>
    <mergeCell ref="C38:E38"/>
    <mergeCell ref="C39:E39"/>
    <mergeCell ref="B34:E34"/>
    <mergeCell ref="C21:E21"/>
    <mergeCell ref="A1:B1"/>
    <mergeCell ref="C5:E5"/>
    <mergeCell ref="B6:D6"/>
    <mergeCell ref="B9:D9"/>
    <mergeCell ref="C11:E11"/>
    <mergeCell ref="B12:D12"/>
    <mergeCell ref="C14:E14"/>
    <mergeCell ref="B15:D15"/>
    <mergeCell ref="B17:C17"/>
    <mergeCell ref="B19:E19"/>
    <mergeCell ref="C20:E20"/>
  </mergeCells>
  <pageMargins left="0.70866141732283472" right="0.70866141732283472" top="0.74803149606299213" bottom="0.74803149606299213" header="0.31496062992125984" footer="0.31496062992125984"/>
  <pageSetup paperSize="9" scale="28" fitToWidth="70" fitToHeight="2" orientation="landscape" horizontalDpi="4294967292"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7237B-0239-4604-9486-677B8B39833B}">
  <sheetPr>
    <pageSetUpPr fitToPage="1"/>
  </sheetPr>
  <dimension ref="A1:N119"/>
  <sheetViews>
    <sheetView view="pageBreakPreview" topLeftCell="A78" zoomScale="47" zoomScaleNormal="62" workbookViewId="0">
      <selection activeCell="C89" sqref="C89"/>
    </sheetView>
  </sheetViews>
  <sheetFormatPr defaultColWidth="8.6640625" defaultRowHeight="14.4" x14ac:dyDescent="0.3"/>
  <cols>
    <col min="2" max="2" width="65.109375" customWidth="1"/>
    <col min="3" max="3" width="81" customWidth="1"/>
    <col min="4" max="4" width="73.109375" customWidth="1"/>
    <col min="5" max="5" width="27.6640625" customWidth="1"/>
    <col min="6" max="6" width="22.6640625" customWidth="1"/>
    <col min="7" max="7" width="12" hidden="1" customWidth="1"/>
    <col min="8" max="8" width="22.6640625" customWidth="1"/>
    <col min="9" max="9" width="16.33203125" customWidth="1"/>
    <col min="10" max="10" width="24" customWidth="1"/>
    <col min="11" max="11" width="15.88671875" customWidth="1"/>
    <col min="12" max="14" width="12.88671875" bestFit="1" customWidth="1"/>
  </cols>
  <sheetData>
    <row r="1" spans="1:14" ht="20.25" customHeight="1" x14ac:dyDescent="0.3">
      <c r="A1" s="246" t="s">
        <v>0</v>
      </c>
      <c r="B1" s="246"/>
      <c r="C1" s="1"/>
      <c r="D1" s="2"/>
      <c r="E1" s="1"/>
      <c r="F1" s="1"/>
      <c r="G1" s="1"/>
      <c r="H1" s="1"/>
      <c r="I1" s="1"/>
      <c r="J1" s="1"/>
      <c r="K1" s="1"/>
      <c r="L1" s="1"/>
      <c r="M1" s="1"/>
      <c r="N1" s="1"/>
    </row>
    <row r="2" spans="1:14" ht="21" x14ac:dyDescent="0.3">
      <c r="A2" s="1"/>
      <c r="B2" s="1"/>
      <c r="C2" s="1"/>
      <c r="D2" s="1"/>
      <c r="E2" s="1"/>
      <c r="F2" s="1"/>
      <c r="G2" s="1"/>
      <c r="H2" s="1"/>
      <c r="I2" s="1"/>
      <c r="J2" s="1"/>
      <c r="K2" s="1"/>
      <c r="L2" s="1"/>
      <c r="M2" s="1"/>
      <c r="N2" s="1"/>
    </row>
    <row r="3" spans="1:14" ht="40.799999999999997" x14ac:dyDescent="0.3">
      <c r="A3" s="3" t="s">
        <v>1</v>
      </c>
      <c r="B3" s="54" t="s">
        <v>2</v>
      </c>
      <c r="C3" s="5" t="s">
        <v>376</v>
      </c>
      <c r="D3" s="1"/>
      <c r="E3" s="1"/>
      <c r="F3" s="1"/>
      <c r="G3" s="1"/>
      <c r="H3" s="1"/>
      <c r="I3" s="1"/>
      <c r="J3" s="1"/>
      <c r="K3" s="1"/>
      <c r="L3" s="1"/>
      <c r="M3" s="1"/>
      <c r="N3" s="1"/>
    </row>
    <row r="4" spans="1:14" ht="21" x14ac:dyDescent="0.3">
      <c r="A4" s="1"/>
      <c r="B4" s="1"/>
      <c r="C4" s="1"/>
      <c r="D4" s="22"/>
      <c r="E4" s="1"/>
      <c r="F4" s="1"/>
      <c r="G4" s="1"/>
      <c r="H4" s="1"/>
      <c r="I4" s="1"/>
      <c r="J4" s="1"/>
      <c r="K4" s="1"/>
      <c r="L4" s="1"/>
      <c r="M4" s="1"/>
      <c r="N4" s="1"/>
    </row>
    <row r="5" spans="1:14" ht="21" x14ac:dyDescent="0.3">
      <c r="A5" s="62">
        <v>1</v>
      </c>
      <c r="B5" s="63" t="s">
        <v>3</v>
      </c>
      <c r="C5" s="247" t="s">
        <v>799</v>
      </c>
      <c r="D5" s="248"/>
      <c r="E5" s="249"/>
      <c r="F5" s="1"/>
      <c r="G5" s="1"/>
      <c r="H5" s="1"/>
      <c r="I5" s="1"/>
      <c r="J5" s="1"/>
      <c r="K5" s="1"/>
      <c r="L5" s="1"/>
      <c r="M5" s="1"/>
      <c r="N5" s="1"/>
    </row>
    <row r="6" spans="1:14" ht="21" x14ac:dyDescent="0.3">
      <c r="A6" s="3"/>
      <c r="B6" s="250" t="s">
        <v>4</v>
      </c>
      <c r="C6" s="251"/>
      <c r="D6" s="252"/>
      <c r="E6" s="10"/>
      <c r="F6" s="1"/>
      <c r="G6" s="1"/>
      <c r="H6" s="1"/>
      <c r="I6" s="1"/>
      <c r="J6" s="1"/>
      <c r="K6" s="1"/>
      <c r="L6" s="1"/>
      <c r="M6" s="1"/>
      <c r="N6" s="1"/>
    </row>
    <row r="7" spans="1:14" ht="21" x14ac:dyDescent="0.3">
      <c r="A7" s="3"/>
      <c r="B7" s="2"/>
      <c r="C7" s="1"/>
      <c r="D7" s="22"/>
      <c r="E7" s="1"/>
      <c r="F7" s="1"/>
      <c r="G7" s="1"/>
      <c r="H7" s="1"/>
      <c r="I7" s="1"/>
      <c r="J7" s="1"/>
      <c r="K7" s="1"/>
      <c r="L7" s="1"/>
      <c r="M7" s="1"/>
      <c r="N7" s="1"/>
    </row>
    <row r="8" spans="1:14" ht="21" x14ac:dyDescent="0.3">
      <c r="A8" s="3">
        <v>2</v>
      </c>
      <c r="B8" s="63" t="s">
        <v>5</v>
      </c>
      <c r="C8" s="12" t="s">
        <v>377</v>
      </c>
      <c r="D8" s="22"/>
      <c r="E8" s="1"/>
      <c r="F8" s="1"/>
      <c r="G8" s="1"/>
      <c r="H8" s="1"/>
      <c r="I8" s="1"/>
      <c r="J8" s="1"/>
      <c r="K8" s="1"/>
      <c r="L8" s="1"/>
      <c r="M8" s="1"/>
      <c r="N8" s="1"/>
    </row>
    <row r="9" spans="1:14" ht="21" x14ac:dyDescent="0.3">
      <c r="A9" s="3"/>
      <c r="B9" s="250" t="s">
        <v>4</v>
      </c>
      <c r="C9" s="251"/>
      <c r="D9" s="252"/>
      <c r="E9" s="1"/>
      <c r="F9" s="1"/>
      <c r="G9" s="1"/>
      <c r="H9" s="1"/>
      <c r="I9" s="1"/>
      <c r="J9" s="1"/>
      <c r="K9" s="1"/>
      <c r="L9" s="1"/>
      <c r="M9" s="1"/>
      <c r="N9" s="1"/>
    </row>
    <row r="10" spans="1:14" ht="21" x14ac:dyDescent="0.3">
      <c r="A10" s="3"/>
      <c r="B10" s="2"/>
      <c r="C10" s="1"/>
      <c r="D10" s="22"/>
      <c r="E10" s="1"/>
      <c r="F10" s="1"/>
      <c r="G10" s="1"/>
      <c r="H10" s="1"/>
      <c r="I10" s="1"/>
      <c r="J10" s="1"/>
      <c r="K10" s="1"/>
      <c r="L10" s="1"/>
      <c r="M10" s="1"/>
      <c r="N10" s="1"/>
    </row>
    <row r="11" spans="1:14" ht="40.950000000000003" customHeight="1" x14ac:dyDescent="0.3">
      <c r="A11" s="3">
        <v>3</v>
      </c>
      <c r="B11" s="63" t="s">
        <v>6</v>
      </c>
      <c r="C11" s="247" t="s">
        <v>90</v>
      </c>
      <c r="D11" s="248"/>
      <c r="E11" s="249"/>
      <c r="F11" s="1"/>
      <c r="G11" s="1"/>
      <c r="H11" s="1"/>
      <c r="I11" s="1"/>
      <c r="J11" s="1"/>
      <c r="K11" s="1"/>
      <c r="L11" s="1"/>
      <c r="M11" s="1"/>
      <c r="N11" s="1"/>
    </row>
    <row r="12" spans="1:14" ht="21" x14ac:dyDescent="0.3">
      <c r="A12" s="3"/>
      <c r="B12" s="250" t="s">
        <v>4</v>
      </c>
      <c r="C12" s="251"/>
      <c r="D12" s="252"/>
      <c r="E12" s="10"/>
      <c r="F12" s="1"/>
      <c r="G12" s="1"/>
      <c r="H12" s="1"/>
      <c r="I12" s="1"/>
      <c r="J12" s="1"/>
      <c r="K12" s="1"/>
      <c r="L12" s="1"/>
      <c r="M12" s="1"/>
      <c r="N12" s="1"/>
    </row>
    <row r="13" spans="1:14" ht="21" x14ac:dyDescent="0.3">
      <c r="A13" s="3"/>
      <c r="B13" s="2"/>
      <c r="C13" s="1"/>
      <c r="D13" s="22"/>
      <c r="E13" s="1"/>
      <c r="F13" s="1"/>
      <c r="G13" s="1"/>
      <c r="H13" s="1"/>
      <c r="I13" s="1"/>
      <c r="J13" s="1"/>
      <c r="K13" s="1"/>
      <c r="L13" s="1"/>
      <c r="M13" s="1"/>
      <c r="N13" s="1"/>
    </row>
    <row r="14" spans="1:14" ht="21" x14ac:dyDescent="0.3">
      <c r="A14" s="3">
        <v>4</v>
      </c>
      <c r="B14" s="54" t="s">
        <v>92</v>
      </c>
      <c r="C14" s="247" t="s">
        <v>90</v>
      </c>
      <c r="D14" s="248"/>
      <c r="E14" s="249"/>
      <c r="F14" s="1"/>
      <c r="G14" s="1"/>
      <c r="H14" s="1"/>
      <c r="I14" s="1"/>
      <c r="J14" s="1"/>
      <c r="K14" s="1"/>
      <c r="L14" s="1"/>
      <c r="M14" s="1"/>
      <c r="N14" s="1"/>
    </row>
    <row r="15" spans="1:14" ht="21" x14ac:dyDescent="0.3">
      <c r="A15" s="3"/>
      <c r="B15" s="250" t="s">
        <v>4</v>
      </c>
      <c r="C15" s="251"/>
      <c r="D15" s="252"/>
      <c r="E15" s="1"/>
      <c r="F15" s="1"/>
      <c r="G15" s="1"/>
      <c r="H15" s="1"/>
      <c r="I15" s="1"/>
      <c r="J15" s="1"/>
      <c r="K15" s="1"/>
      <c r="L15" s="1"/>
      <c r="M15" s="1"/>
      <c r="N15" s="1"/>
    </row>
    <row r="16" spans="1:14" ht="21" x14ac:dyDescent="0.3">
      <c r="A16" s="3">
        <v>4</v>
      </c>
      <c r="B16" s="54" t="s">
        <v>7</v>
      </c>
      <c r="C16" s="5" t="s">
        <v>584</v>
      </c>
      <c r="D16" s="22"/>
      <c r="E16" s="1"/>
      <c r="F16" s="1"/>
      <c r="G16" s="1"/>
      <c r="H16" s="1"/>
      <c r="I16" s="1"/>
      <c r="J16" s="1"/>
      <c r="K16" s="1"/>
      <c r="L16" s="1"/>
      <c r="M16" s="1"/>
      <c r="N16" s="1"/>
    </row>
    <row r="17" spans="1:14" ht="21" x14ac:dyDescent="0.3">
      <c r="A17" s="3"/>
      <c r="B17" s="253" t="s">
        <v>8</v>
      </c>
      <c r="C17" s="254"/>
      <c r="D17" s="22"/>
      <c r="E17" s="1"/>
      <c r="F17" s="1"/>
      <c r="G17" s="1"/>
      <c r="H17" s="1"/>
      <c r="I17" s="1"/>
      <c r="J17" s="1"/>
      <c r="K17" s="1"/>
      <c r="L17" s="1"/>
      <c r="M17" s="1"/>
      <c r="N17" s="1"/>
    </row>
    <row r="18" spans="1:14" ht="21" x14ac:dyDescent="0.3">
      <c r="A18" s="3"/>
      <c r="B18" s="1"/>
      <c r="C18" s="1"/>
      <c r="D18" s="22"/>
      <c r="E18" s="1"/>
      <c r="F18" s="1"/>
      <c r="G18" s="1"/>
      <c r="H18" s="1"/>
      <c r="I18" s="1"/>
      <c r="J18" s="1"/>
      <c r="K18" s="1"/>
      <c r="L18" s="1"/>
      <c r="M18" s="1"/>
      <c r="N18" s="1"/>
    </row>
    <row r="19" spans="1:14" ht="21" x14ac:dyDescent="0.3">
      <c r="A19" s="3">
        <v>5</v>
      </c>
      <c r="B19" s="255" t="s">
        <v>9</v>
      </c>
      <c r="C19" s="256"/>
      <c r="D19" s="256"/>
      <c r="E19" s="257"/>
      <c r="F19" s="2"/>
      <c r="G19" s="2"/>
      <c r="H19" s="2"/>
      <c r="I19" s="2"/>
      <c r="J19" s="10"/>
      <c r="K19" s="10"/>
      <c r="L19" s="10"/>
      <c r="M19" s="10"/>
      <c r="N19" s="10"/>
    </row>
    <row r="20" spans="1:14" ht="21" x14ac:dyDescent="0.3">
      <c r="A20" s="3"/>
      <c r="B20" s="65" t="s">
        <v>10</v>
      </c>
      <c r="C20" s="243">
        <v>1.3100000000000001E-2</v>
      </c>
      <c r="D20" s="244"/>
      <c r="E20" s="245"/>
      <c r="F20" s="66"/>
      <c r="G20" s="10"/>
      <c r="H20" s="10"/>
      <c r="I20" s="10"/>
      <c r="J20" s="10"/>
      <c r="K20" s="10"/>
      <c r="L20" s="10"/>
      <c r="M20" s="10"/>
      <c r="N20" s="10"/>
    </row>
    <row r="21" spans="1:14" ht="40.799999999999997" x14ac:dyDescent="0.3">
      <c r="A21" s="3"/>
      <c r="B21" s="65" t="s">
        <v>453</v>
      </c>
      <c r="C21" s="243">
        <v>8.6E-3</v>
      </c>
      <c r="D21" s="244"/>
      <c r="E21" s="245"/>
      <c r="F21" s="66"/>
      <c r="G21" s="10"/>
      <c r="H21" s="1"/>
      <c r="I21" s="10"/>
      <c r="J21" s="10"/>
      <c r="K21" s="10"/>
      <c r="L21" s="10"/>
      <c r="M21" s="10"/>
      <c r="N21" s="10"/>
    </row>
    <row r="22" spans="1:14" ht="21" x14ac:dyDescent="0.3">
      <c r="A22" s="3"/>
      <c r="B22" s="65" t="s">
        <v>243</v>
      </c>
      <c r="C22" s="243">
        <v>8.6E-3</v>
      </c>
      <c r="D22" s="439"/>
      <c r="E22" s="440"/>
      <c r="F22" s="66"/>
      <c r="G22" s="10"/>
      <c r="H22" s="10"/>
      <c r="I22" s="10"/>
      <c r="J22" s="10"/>
      <c r="K22" s="10"/>
      <c r="L22" s="10"/>
      <c r="M22" s="10"/>
      <c r="N22" s="10"/>
    </row>
    <row r="23" spans="1:14" ht="21" x14ac:dyDescent="0.3">
      <c r="A23" s="3"/>
      <c r="B23" s="64" t="s">
        <v>252</v>
      </c>
      <c r="C23" s="442" t="s">
        <v>676</v>
      </c>
      <c r="D23" s="370"/>
      <c r="E23" s="371"/>
      <c r="F23" s="66"/>
      <c r="G23" s="10"/>
      <c r="H23" s="10"/>
      <c r="I23" s="10"/>
      <c r="J23" s="10"/>
      <c r="K23" s="10"/>
      <c r="L23" s="10"/>
      <c r="M23" s="10"/>
      <c r="N23" s="10"/>
    </row>
    <row r="24" spans="1:14" ht="21" x14ac:dyDescent="0.3">
      <c r="A24" s="3"/>
      <c r="B24" s="67" t="s">
        <v>253</v>
      </c>
      <c r="C24" s="442" t="s">
        <v>676</v>
      </c>
      <c r="D24" s="370"/>
      <c r="E24" s="371"/>
      <c r="F24" s="66"/>
      <c r="G24" s="10"/>
      <c r="H24" s="10"/>
      <c r="I24" s="10"/>
      <c r="J24" s="10"/>
      <c r="K24" s="10"/>
      <c r="L24" s="10"/>
      <c r="M24" s="10"/>
      <c r="N24" s="10"/>
    </row>
    <row r="25" spans="1:14" ht="40.5" customHeight="1" x14ac:dyDescent="0.3">
      <c r="A25" s="3"/>
      <c r="B25" s="293" t="s">
        <v>793</v>
      </c>
      <c r="C25" s="293"/>
      <c r="D25" s="293"/>
      <c r="E25" s="293"/>
      <c r="F25" s="66"/>
      <c r="G25" s="10"/>
      <c r="H25" s="10"/>
      <c r="I25" s="10"/>
      <c r="J25" s="10"/>
      <c r="K25" s="10"/>
      <c r="L25" s="10"/>
      <c r="M25" s="10"/>
      <c r="N25" s="10"/>
    </row>
    <row r="26" spans="1:14" ht="21" x14ac:dyDescent="0.3">
      <c r="A26" s="3">
        <v>6</v>
      </c>
      <c r="B26" s="261" t="s">
        <v>74</v>
      </c>
      <c r="C26" s="262"/>
      <c r="D26" s="262"/>
      <c r="E26" s="263"/>
      <c r="F26" s="2"/>
      <c r="G26" s="2"/>
      <c r="H26" s="10"/>
      <c r="I26" s="2"/>
      <c r="J26" s="2"/>
      <c r="K26" s="1"/>
      <c r="L26" s="1"/>
      <c r="M26" s="1"/>
      <c r="N26" s="1"/>
    </row>
    <row r="27" spans="1:14" ht="21" x14ac:dyDescent="0.3">
      <c r="A27" s="3"/>
      <c r="B27" s="264" t="s">
        <v>17</v>
      </c>
      <c r="C27" s="265"/>
      <c r="D27" s="265"/>
      <c r="E27" s="266"/>
      <c r="F27" s="66"/>
      <c r="G27" s="1"/>
      <c r="H27" s="1"/>
      <c r="I27" s="1"/>
      <c r="J27" s="1"/>
      <c r="K27" s="1"/>
      <c r="L27" s="1"/>
      <c r="M27" s="1"/>
      <c r="N27" s="1"/>
    </row>
    <row r="28" spans="1:14" ht="21" x14ac:dyDescent="0.3">
      <c r="A28" s="3"/>
      <c r="B28" s="67" t="s">
        <v>18</v>
      </c>
      <c r="C28" s="25" t="s">
        <v>244</v>
      </c>
      <c r="D28" s="25" t="s">
        <v>245</v>
      </c>
      <c r="E28" s="25" t="s">
        <v>246</v>
      </c>
      <c r="F28" s="66"/>
      <c r="G28" s="1"/>
      <c r="H28" s="1"/>
      <c r="I28" s="1"/>
      <c r="J28" s="1"/>
      <c r="K28" s="1"/>
      <c r="L28" s="1"/>
      <c r="M28" s="1"/>
      <c r="N28" s="1"/>
    </row>
    <row r="29" spans="1:14" ht="20.7" customHeight="1" x14ac:dyDescent="0.3">
      <c r="A29" s="3"/>
      <c r="B29" s="68" t="s">
        <v>21</v>
      </c>
      <c r="C29" s="5">
        <v>6513.28</v>
      </c>
      <c r="D29" s="175">
        <v>7627.23</v>
      </c>
      <c r="E29" s="5">
        <v>6893.66</v>
      </c>
      <c r="F29" s="66"/>
      <c r="G29" s="1"/>
      <c r="H29" s="1"/>
      <c r="I29" s="1"/>
      <c r="J29" s="1"/>
      <c r="K29" s="1"/>
      <c r="L29" s="1"/>
      <c r="M29" s="1"/>
      <c r="N29" s="1"/>
    </row>
    <row r="30" spans="1:14" ht="21" x14ac:dyDescent="0.3">
      <c r="A30" s="3"/>
      <c r="B30" s="68" t="s">
        <v>23</v>
      </c>
      <c r="C30" s="5">
        <v>822.27</v>
      </c>
      <c r="D30" s="5">
        <v>828.26</v>
      </c>
      <c r="E30" s="5">
        <v>608.02</v>
      </c>
      <c r="F30" s="66"/>
      <c r="G30" s="1"/>
      <c r="H30" s="1"/>
      <c r="I30" s="1"/>
      <c r="J30" s="1"/>
      <c r="K30" s="1"/>
      <c r="L30" s="1"/>
      <c r="M30" s="1"/>
      <c r="N30" s="1"/>
    </row>
    <row r="31" spans="1:14" ht="21" x14ac:dyDescent="0.3">
      <c r="A31" s="3"/>
      <c r="B31" s="68" t="s">
        <v>24</v>
      </c>
      <c r="C31" s="5">
        <v>1842.7</v>
      </c>
      <c r="D31" s="175">
        <v>1842.7</v>
      </c>
      <c r="E31" s="175">
        <v>1842.7</v>
      </c>
      <c r="F31" s="66"/>
      <c r="G31" s="1"/>
      <c r="H31" s="57"/>
      <c r="I31" s="1"/>
      <c r="J31" s="1"/>
      <c r="K31" s="1"/>
      <c r="L31" s="1"/>
      <c r="M31" s="1"/>
      <c r="N31" s="1"/>
    </row>
    <row r="32" spans="1:14" ht="21" x14ac:dyDescent="0.3">
      <c r="A32" s="3"/>
      <c r="B32" s="68" t="s">
        <v>25</v>
      </c>
      <c r="C32" s="5">
        <v>7728.04</v>
      </c>
      <c r="D32" s="175">
        <v>8556.89</v>
      </c>
      <c r="E32" s="5">
        <v>9163.91</v>
      </c>
      <c r="F32" s="66"/>
      <c r="G32" s="1"/>
      <c r="H32" s="1"/>
      <c r="I32" s="1"/>
      <c r="J32" s="1"/>
      <c r="K32" s="1"/>
      <c r="L32" s="1"/>
      <c r="M32" s="1"/>
      <c r="N32" s="1"/>
    </row>
    <row r="33" spans="1:14" ht="21" x14ac:dyDescent="0.3">
      <c r="A33" s="3"/>
      <c r="B33" s="253" t="s">
        <v>800</v>
      </c>
      <c r="C33" s="270"/>
      <c r="D33" s="270"/>
      <c r="E33" s="254"/>
      <c r="F33" s="66"/>
      <c r="G33" s="1"/>
      <c r="H33" s="1"/>
      <c r="I33" s="1"/>
      <c r="J33" s="1"/>
      <c r="K33" s="1"/>
      <c r="L33" s="1"/>
      <c r="M33" s="1"/>
      <c r="N33" s="1"/>
    </row>
    <row r="34" spans="1:14" ht="21" x14ac:dyDescent="0.3">
      <c r="A34" s="3"/>
      <c r="B34" s="10"/>
      <c r="C34" s="66"/>
      <c r="D34" s="66"/>
      <c r="E34" s="66"/>
      <c r="F34" s="66"/>
      <c r="G34" s="1"/>
      <c r="H34" s="1"/>
      <c r="I34" s="1"/>
      <c r="J34" s="1"/>
      <c r="K34" s="1"/>
      <c r="L34" s="1"/>
      <c r="M34" s="1"/>
      <c r="N34" s="1"/>
    </row>
    <row r="35" spans="1:14" ht="41.7" customHeight="1" x14ac:dyDescent="0.3">
      <c r="A35" s="3">
        <v>7</v>
      </c>
      <c r="B35" s="261" t="s">
        <v>26</v>
      </c>
      <c r="C35" s="262"/>
      <c r="D35" s="262"/>
      <c r="E35" s="263"/>
      <c r="F35" s="2"/>
      <c r="G35" s="2"/>
      <c r="H35" s="2"/>
      <c r="I35" s="2"/>
      <c r="J35" s="2"/>
      <c r="K35" s="1"/>
      <c r="L35" s="1"/>
      <c r="M35" s="1"/>
      <c r="N35" s="1"/>
    </row>
    <row r="36" spans="1:14" ht="21" x14ac:dyDescent="0.3">
      <c r="A36" s="3"/>
      <c r="B36" s="67" t="s">
        <v>247</v>
      </c>
      <c r="C36" s="27" t="s">
        <v>455</v>
      </c>
      <c r="D36" s="5"/>
      <c r="E36" s="5"/>
      <c r="F36" s="10"/>
      <c r="G36" s="1"/>
      <c r="H36" s="1"/>
      <c r="I36" s="1"/>
      <c r="J36" s="1"/>
      <c r="K36" s="1"/>
      <c r="L36" s="1"/>
      <c r="M36" s="1"/>
      <c r="N36" s="1"/>
    </row>
    <row r="37" spans="1:14" ht="21" x14ac:dyDescent="0.3">
      <c r="A37" s="3"/>
      <c r="B37" s="67" t="s">
        <v>28</v>
      </c>
      <c r="C37" s="27" t="s">
        <v>93</v>
      </c>
      <c r="D37" s="10"/>
      <c r="E37" s="10"/>
      <c r="F37" s="10"/>
      <c r="G37" s="1"/>
      <c r="H37" s="1"/>
      <c r="I37" s="1"/>
      <c r="J37" s="1"/>
      <c r="K37" s="1"/>
      <c r="L37" s="1"/>
      <c r="M37" s="1"/>
      <c r="N37" s="1"/>
    </row>
    <row r="38" spans="1:14" ht="21" x14ac:dyDescent="0.3">
      <c r="A38" s="3"/>
      <c r="B38" s="67" t="s">
        <v>29</v>
      </c>
      <c r="C38" s="27" t="s">
        <v>93</v>
      </c>
      <c r="D38" s="10"/>
      <c r="E38" s="10"/>
      <c r="F38" s="10"/>
      <c r="G38" s="1"/>
      <c r="H38" s="1"/>
      <c r="I38" s="1"/>
      <c r="J38" s="1"/>
      <c r="K38" s="1"/>
      <c r="L38" s="1"/>
      <c r="M38" s="1"/>
      <c r="N38" s="1"/>
    </row>
    <row r="39" spans="1:14" ht="42" customHeight="1" x14ac:dyDescent="0.3">
      <c r="A39" s="3"/>
      <c r="B39" s="271" t="s">
        <v>378</v>
      </c>
      <c r="C39" s="271"/>
      <c r="D39" s="271"/>
      <c r="E39" s="10"/>
      <c r="F39" s="10"/>
      <c r="G39" s="1"/>
      <c r="H39" s="1"/>
      <c r="I39" s="1"/>
      <c r="J39" s="1"/>
      <c r="K39" s="1"/>
      <c r="L39" s="1"/>
      <c r="M39" s="1"/>
      <c r="N39" s="1"/>
    </row>
    <row r="40" spans="1:14" ht="21" x14ac:dyDescent="0.3">
      <c r="A40" s="3"/>
      <c r="B40" s="66"/>
      <c r="C40" s="10"/>
      <c r="D40" s="10"/>
      <c r="E40" s="10"/>
      <c r="F40" s="10"/>
      <c r="G40" s="1"/>
      <c r="H40" s="1"/>
      <c r="I40" s="1"/>
      <c r="J40" s="1"/>
      <c r="K40" s="1"/>
      <c r="L40" s="1"/>
      <c r="M40" s="1"/>
      <c r="N40" s="1"/>
    </row>
    <row r="41" spans="1:14" ht="21" x14ac:dyDescent="0.3">
      <c r="A41" s="3">
        <v>8</v>
      </c>
      <c r="B41" s="261" t="s">
        <v>30</v>
      </c>
      <c r="C41" s="262"/>
      <c r="D41" s="262"/>
      <c r="E41" s="263"/>
      <c r="F41" s="2"/>
      <c r="G41" s="2"/>
      <c r="H41" s="2"/>
      <c r="I41" s="2"/>
      <c r="J41" s="2"/>
      <c r="K41" s="1"/>
      <c r="L41" s="1"/>
      <c r="M41" s="1"/>
      <c r="N41" s="1"/>
    </row>
    <row r="42" spans="1:14" ht="21" x14ac:dyDescent="0.3">
      <c r="A42" s="3"/>
      <c r="B42" s="67" t="s">
        <v>31</v>
      </c>
      <c r="C42" s="258" t="s">
        <v>11</v>
      </c>
      <c r="D42" s="259"/>
      <c r="E42" s="260"/>
      <c r="F42" s="10"/>
      <c r="G42" s="1"/>
      <c r="H42" s="1"/>
      <c r="I42" s="1"/>
      <c r="J42" s="1"/>
      <c r="K42" s="1"/>
      <c r="L42" s="1"/>
      <c r="M42" s="1"/>
      <c r="N42" s="1"/>
    </row>
    <row r="43" spans="1:14" ht="21" x14ac:dyDescent="0.3">
      <c r="A43" s="3"/>
      <c r="B43" s="67" t="s">
        <v>28</v>
      </c>
      <c r="C43" s="258" t="s">
        <v>11</v>
      </c>
      <c r="D43" s="259"/>
      <c r="E43" s="260"/>
      <c r="F43" s="10"/>
      <c r="G43" s="1"/>
      <c r="H43" s="1"/>
      <c r="I43" s="1"/>
      <c r="J43" s="1"/>
      <c r="K43" s="1"/>
      <c r="L43" s="1"/>
      <c r="M43" s="1"/>
      <c r="N43" s="1"/>
    </row>
    <row r="44" spans="1:14" ht="21" x14ac:dyDescent="0.3">
      <c r="A44" s="3"/>
      <c r="B44" s="67" t="s">
        <v>29</v>
      </c>
      <c r="C44" s="258" t="s">
        <v>913</v>
      </c>
      <c r="D44" s="259"/>
      <c r="E44" s="260"/>
      <c r="F44" s="10"/>
      <c r="G44" s="1"/>
      <c r="H44" s="1"/>
      <c r="I44" s="1"/>
      <c r="J44" s="1"/>
      <c r="K44" s="1"/>
      <c r="L44" s="1"/>
      <c r="M44" s="1"/>
      <c r="N44" s="1"/>
    </row>
    <row r="45" spans="1:14" ht="21" x14ac:dyDescent="0.3">
      <c r="A45" s="3"/>
      <c r="B45" s="253" t="s">
        <v>802</v>
      </c>
      <c r="C45" s="270"/>
      <c r="D45" s="270"/>
      <c r="E45" s="254"/>
      <c r="F45" s="10"/>
      <c r="G45" s="1"/>
      <c r="H45" s="1"/>
      <c r="I45" s="1"/>
      <c r="J45" s="1"/>
      <c r="K45" s="1"/>
      <c r="L45" s="1"/>
      <c r="M45" s="1"/>
      <c r="N45" s="1"/>
    </row>
    <row r="46" spans="1:14" ht="21" x14ac:dyDescent="0.3">
      <c r="A46" s="3"/>
      <c r="B46" s="1"/>
      <c r="C46" s="1"/>
      <c r="D46" s="22"/>
      <c r="E46" s="10"/>
      <c r="F46" s="1"/>
      <c r="G46" s="1"/>
      <c r="H46" s="1"/>
      <c r="I46" s="1"/>
      <c r="J46" s="1"/>
      <c r="K46" s="1"/>
      <c r="L46" s="1"/>
      <c r="M46" s="1"/>
      <c r="N46" s="1"/>
    </row>
    <row r="47" spans="1:14" ht="83.4" customHeight="1" x14ac:dyDescent="0.3">
      <c r="A47" s="191">
        <v>9</v>
      </c>
      <c r="B47" s="262" t="s">
        <v>32</v>
      </c>
      <c r="C47" s="262"/>
      <c r="D47" s="262"/>
      <c r="E47" s="263"/>
      <c r="F47" s="2"/>
      <c r="G47" s="2"/>
      <c r="H47" s="2"/>
      <c r="I47" s="2"/>
      <c r="J47" s="1"/>
      <c r="K47" s="1"/>
      <c r="L47" s="1"/>
      <c r="M47" s="1"/>
      <c r="N47" s="1"/>
    </row>
    <row r="48" spans="1:14" ht="81.599999999999994" x14ac:dyDescent="0.3">
      <c r="A48" s="191"/>
      <c r="B48" s="24" t="s">
        <v>33</v>
      </c>
      <c r="C48" s="25" t="s">
        <v>34</v>
      </c>
      <c r="D48" s="25" t="s">
        <v>96</v>
      </c>
      <c r="E48" s="25" t="s">
        <v>35</v>
      </c>
      <c r="F48" s="1"/>
      <c r="G48" s="1"/>
      <c r="H48" s="1"/>
      <c r="I48" s="1"/>
      <c r="J48" s="1"/>
      <c r="K48" s="1"/>
      <c r="L48" s="1"/>
      <c r="M48" s="1"/>
      <c r="N48" s="1"/>
    </row>
    <row r="49" spans="1:14" ht="166.2" customHeight="1" x14ac:dyDescent="0.3">
      <c r="A49" s="191"/>
      <c r="B49" s="189" t="s">
        <v>812</v>
      </c>
      <c r="C49" s="27" t="s">
        <v>380</v>
      </c>
      <c r="D49" s="27" t="s">
        <v>574</v>
      </c>
      <c r="E49" s="27" t="s">
        <v>121</v>
      </c>
      <c r="F49" s="1"/>
      <c r="G49" s="1"/>
      <c r="H49" s="1"/>
      <c r="I49" s="1"/>
      <c r="J49" s="1"/>
      <c r="K49" s="1"/>
      <c r="L49" s="1"/>
      <c r="M49" s="1"/>
      <c r="N49" s="1"/>
    </row>
    <row r="50" spans="1:14" ht="21" x14ac:dyDescent="0.3">
      <c r="A50" s="191"/>
      <c r="B50" s="270"/>
      <c r="C50" s="270"/>
      <c r="D50" s="270"/>
      <c r="E50" s="254"/>
      <c r="F50" s="1"/>
      <c r="G50" s="1"/>
      <c r="H50" s="1"/>
      <c r="I50" s="1"/>
      <c r="J50" s="1"/>
      <c r="K50" s="1"/>
      <c r="L50" s="1"/>
      <c r="M50" s="1"/>
      <c r="N50" s="1"/>
    </row>
    <row r="51" spans="1:14" ht="28.2" customHeight="1" x14ac:dyDescent="0.3">
      <c r="A51" s="191"/>
      <c r="B51" s="242" t="s">
        <v>752</v>
      </c>
      <c r="C51" s="242"/>
      <c r="D51" s="87"/>
      <c r="E51" s="87"/>
      <c r="F51" s="1"/>
      <c r="G51" s="1"/>
      <c r="H51" s="1"/>
      <c r="I51" s="1"/>
      <c r="J51" s="1"/>
      <c r="K51" s="1"/>
      <c r="L51" s="1"/>
      <c r="M51" s="1"/>
      <c r="N51" s="1"/>
    </row>
    <row r="52" spans="1:14" ht="21" x14ac:dyDescent="0.3">
      <c r="A52" s="191"/>
      <c r="B52" s="103" t="s">
        <v>813</v>
      </c>
      <c r="C52" s="87"/>
      <c r="D52" s="87"/>
      <c r="E52" s="87"/>
      <c r="F52" s="1"/>
      <c r="G52" s="1"/>
      <c r="H52" s="1"/>
      <c r="I52" s="1"/>
      <c r="J52" s="1"/>
      <c r="K52" s="1"/>
      <c r="L52" s="1"/>
      <c r="M52" s="1"/>
      <c r="N52" s="1"/>
    </row>
    <row r="53" spans="1:14" ht="21" x14ac:dyDescent="0.3">
      <c r="A53" s="191"/>
      <c r="B53" s="28"/>
      <c r="C53" s="22"/>
      <c r="D53" s="22"/>
      <c r="E53" s="22"/>
      <c r="F53" s="66"/>
      <c r="G53" s="66"/>
      <c r="H53" s="66"/>
      <c r="I53" s="66"/>
      <c r="J53" s="1"/>
      <c r="K53" s="1"/>
      <c r="L53" s="1"/>
      <c r="M53" s="1"/>
      <c r="N53" s="1"/>
    </row>
    <row r="54" spans="1:14" ht="43.2" customHeight="1" x14ac:dyDescent="0.3">
      <c r="A54" s="191">
        <v>10</v>
      </c>
      <c r="B54" s="262" t="s">
        <v>32</v>
      </c>
      <c r="C54" s="262"/>
      <c r="D54" s="262"/>
      <c r="E54" s="263"/>
      <c r="F54" s="66"/>
      <c r="G54" s="66"/>
      <c r="H54" s="66"/>
      <c r="I54" s="1"/>
      <c r="J54" s="1"/>
      <c r="K54" s="1"/>
      <c r="L54" s="1"/>
      <c r="M54" s="1"/>
      <c r="N54" s="1"/>
    </row>
    <row r="55" spans="1:14" ht="21" x14ac:dyDescent="0.3">
      <c r="A55" s="191"/>
      <c r="B55" s="275" t="s">
        <v>36</v>
      </c>
      <c r="C55" s="277" t="s">
        <v>751</v>
      </c>
      <c r="D55" s="278"/>
      <c r="E55" s="279"/>
      <c r="F55" s="1"/>
      <c r="G55" s="1"/>
      <c r="H55" s="1"/>
      <c r="I55" s="1"/>
      <c r="J55" s="1"/>
      <c r="K55" s="2"/>
      <c r="L55" s="1"/>
      <c r="M55" s="1"/>
      <c r="N55" s="1"/>
    </row>
    <row r="56" spans="1:14" ht="70.2" customHeight="1" x14ac:dyDescent="0.3">
      <c r="A56" s="191"/>
      <c r="B56" s="276"/>
      <c r="C56" s="280"/>
      <c r="D56" s="281"/>
      <c r="E56" s="282"/>
      <c r="F56" s="1"/>
      <c r="G56" s="1"/>
      <c r="H56" s="1"/>
      <c r="I56" s="1"/>
      <c r="J56" s="1"/>
      <c r="K56" s="2"/>
      <c r="L56" s="1"/>
      <c r="M56" s="1"/>
      <c r="N56" s="1"/>
    </row>
    <row r="57" spans="1:14" ht="77.400000000000006" customHeight="1" x14ac:dyDescent="0.3">
      <c r="A57" s="191"/>
      <c r="B57" s="29" t="s">
        <v>37</v>
      </c>
      <c r="C57" s="283" t="s">
        <v>575</v>
      </c>
      <c r="D57" s="284"/>
      <c r="E57" s="285"/>
      <c r="F57" s="1"/>
      <c r="G57" s="1"/>
      <c r="H57" s="1"/>
      <c r="I57" s="1"/>
      <c r="J57" s="1"/>
      <c r="K57" s="1"/>
      <c r="L57" s="1"/>
      <c r="M57" s="1"/>
      <c r="N57" s="1"/>
    </row>
    <row r="58" spans="1:14" ht="21" x14ac:dyDescent="0.3">
      <c r="A58" s="191"/>
      <c r="B58" s="29" t="s">
        <v>38</v>
      </c>
      <c r="C58" s="286" t="s">
        <v>121</v>
      </c>
      <c r="D58" s="287"/>
      <c r="E58" s="288"/>
      <c r="F58" s="1"/>
      <c r="G58" s="1"/>
      <c r="H58" s="1"/>
      <c r="I58" s="1"/>
      <c r="J58" s="1"/>
      <c r="K58" s="30"/>
      <c r="L58" s="1"/>
      <c r="M58" s="1"/>
      <c r="N58" s="1"/>
    </row>
    <row r="59" spans="1:14" ht="21" hidden="1" x14ac:dyDescent="0.4">
      <c r="A59" s="111" t="s">
        <v>39</v>
      </c>
      <c r="B59" s="447" t="s">
        <v>573</v>
      </c>
      <c r="C59" s="447"/>
      <c r="D59" s="447"/>
      <c r="E59" s="448"/>
      <c r="F59" s="32"/>
      <c r="G59" s="32"/>
      <c r="H59" s="32"/>
      <c r="I59" s="32"/>
      <c r="J59" s="32"/>
      <c r="K59" s="32"/>
      <c r="L59" s="32"/>
      <c r="M59" s="32"/>
      <c r="N59" s="32"/>
    </row>
    <row r="60" spans="1:14" ht="33" customHeight="1" x14ac:dyDescent="0.3">
      <c r="A60" s="191"/>
      <c r="B60" s="308" t="s">
        <v>813</v>
      </c>
      <c r="C60" s="308"/>
      <c r="D60" s="308"/>
      <c r="E60" s="308"/>
      <c r="F60" s="73"/>
      <c r="G60" s="1"/>
      <c r="H60" s="1"/>
      <c r="I60" s="1"/>
      <c r="J60" s="1"/>
      <c r="K60" s="1"/>
      <c r="L60" s="1"/>
      <c r="M60" s="1"/>
      <c r="N60" s="1"/>
    </row>
    <row r="61" spans="1:14" ht="21" x14ac:dyDescent="0.3">
      <c r="A61" s="3">
        <v>11</v>
      </c>
      <c r="B61" s="54" t="s">
        <v>41</v>
      </c>
      <c r="C61" s="270" t="s">
        <v>121</v>
      </c>
      <c r="D61" s="270"/>
      <c r="E61" s="270"/>
      <c r="F61" s="2"/>
      <c r="G61" s="2"/>
      <c r="H61" s="74"/>
      <c r="I61" s="2"/>
      <c r="J61" s="2"/>
      <c r="K61" s="1"/>
      <c r="L61" s="1"/>
      <c r="M61" s="1"/>
      <c r="N61" s="1"/>
    </row>
    <row r="62" spans="1:14" ht="20.7" customHeight="1" x14ac:dyDescent="0.3">
      <c r="A62" s="3"/>
      <c r="B62" s="66"/>
      <c r="C62" s="270"/>
      <c r="D62" s="270"/>
      <c r="E62" s="270"/>
      <c r="F62" s="66"/>
      <c r="G62" s="66"/>
      <c r="H62" s="75"/>
      <c r="I62" s="75"/>
      <c r="J62" s="66"/>
      <c r="K62" s="1"/>
      <c r="L62" s="1"/>
      <c r="M62" s="1"/>
      <c r="N62" s="1"/>
    </row>
    <row r="63" spans="1:14" ht="21" x14ac:dyDescent="0.3">
      <c r="A63" s="76">
        <v>12</v>
      </c>
      <c r="B63" s="77" t="s">
        <v>42</v>
      </c>
      <c r="C63" s="272"/>
      <c r="D63" s="273"/>
      <c r="E63" s="274"/>
      <c r="F63" s="78"/>
      <c r="G63" s="79"/>
      <c r="H63" s="79"/>
      <c r="I63" s="79"/>
      <c r="J63" s="79"/>
      <c r="K63" s="79"/>
      <c r="L63" s="79"/>
      <c r="M63" s="79"/>
      <c r="N63" s="79"/>
    </row>
    <row r="64" spans="1:14" ht="20.399999999999999" x14ac:dyDescent="0.3">
      <c r="A64" s="3"/>
      <c r="B64" s="2"/>
      <c r="C64" s="2"/>
      <c r="D64" s="2"/>
      <c r="E64" s="74"/>
      <c r="F64" s="74"/>
      <c r="G64" s="74"/>
      <c r="H64" s="2"/>
      <c r="I64" s="2"/>
      <c r="J64" s="2"/>
      <c r="K64" s="2"/>
      <c r="L64" s="2"/>
      <c r="M64" s="2"/>
      <c r="N64" s="2"/>
    </row>
    <row r="65" spans="1:14" ht="21" x14ac:dyDescent="0.3">
      <c r="A65" s="3"/>
      <c r="B65" s="67" t="s">
        <v>43</v>
      </c>
      <c r="C65" s="68" t="s">
        <v>381</v>
      </c>
      <c r="D65" s="66"/>
      <c r="E65" s="66"/>
      <c r="F65" s="75"/>
      <c r="G65" s="75"/>
      <c r="H65" s="66"/>
      <c r="I65" s="66"/>
      <c r="J65" s="66"/>
      <c r="K65" s="66"/>
      <c r="L65" s="66"/>
      <c r="M65" s="66"/>
      <c r="N65" s="66"/>
    </row>
    <row r="66" spans="1:14" ht="20.399999999999999" x14ac:dyDescent="0.3">
      <c r="A66" s="3"/>
      <c r="B66" s="66"/>
      <c r="C66" s="66"/>
      <c r="D66" s="66"/>
      <c r="E66" s="66"/>
      <c r="F66" s="66"/>
      <c r="G66" s="66"/>
      <c r="H66" s="66"/>
      <c r="I66" s="66"/>
      <c r="J66" s="66"/>
      <c r="K66" s="66"/>
      <c r="L66" s="66"/>
      <c r="M66" s="66"/>
      <c r="N66" s="66"/>
    </row>
    <row r="67" spans="1:14" ht="87.6" customHeight="1" x14ac:dyDescent="0.3">
      <c r="A67" s="3"/>
      <c r="B67" s="295" t="s">
        <v>44</v>
      </c>
      <c r="C67" s="295" t="s">
        <v>382</v>
      </c>
      <c r="D67" s="295" t="s">
        <v>68</v>
      </c>
      <c r="E67" s="297" t="s">
        <v>45</v>
      </c>
      <c r="F67" s="292" t="s">
        <v>254</v>
      </c>
      <c r="G67" s="293"/>
      <c r="H67" s="294"/>
      <c r="I67" s="292" t="s">
        <v>255</v>
      </c>
      <c r="J67" s="293"/>
      <c r="K67" s="294"/>
      <c r="L67" s="292" t="s">
        <v>197</v>
      </c>
      <c r="M67" s="293"/>
      <c r="N67" s="294"/>
    </row>
    <row r="68" spans="1:14" ht="61.2" x14ac:dyDescent="0.3">
      <c r="A68" s="3"/>
      <c r="B68" s="296"/>
      <c r="C68" s="296"/>
      <c r="D68" s="296"/>
      <c r="E68" s="298"/>
      <c r="F68" s="67" t="s">
        <v>46</v>
      </c>
      <c r="G68" s="67" t="s">
        <v>47</v>
      </c>
      <c r="H68" s="67" t="s">
        <v>48</v>
      </c>
      <c r="I68" s="67" t="s">
        <v>49</v>
      </c>
      <c r="J68" s="67" t="s">
        <v>47</v>
      </c>
      <c r="K68" s="67" t="s">
        <v>48</v>
      </c>
      <c r="L68" s="67" t="s">
        <v>49</v>
      </c>
      <c r="M68" s="67" t="s">
        <v>47</v>
      </c>
      <c r="N68" s="67" t="s">
        <v>48</v>
      </c>
    </row>
    <row r="69" spans="1:14" ht="105" customHeight="1" x14ac:dyDescent="0.3">
      <c r="A69" s="3"/>
      <c r="B69" s="67" t="s">
        <v>803</v>
      </c>
      <c r="C69" s="82">
        <v>180</v>
      </c>
      <c r="D69" s="82">
        <v>128.5</v>
      </c>
      <c r="E69" s="82">
        <v>99.35</v>
      </c>
      <c r="F69" s="121">
        <v>88.25</v>
      </c>
      <c r="G69" s="121">
        <v>168.3</v>
      </c>
      <c r="H69" s="121">
        <v>86.55</v>
      </c>
      <c r="I69" s="121">
        <v>49.75</v>
      </c>
      <c r="J69" s="121">
        <v>108.95</v>
      </c>
      <c r="K69" s="121">
        <v>44</v>
      </c>
      <c r="L69" s="121">
        <v>21.35</v>
      </c>
      <c r="M69" s="121">
        <v>75.7</v>
      </c>
      <c r="N69" s="121">
        <v>21.1</v>
      </c>
    </row>
    <row r="70" spans="1:14" ht="40.799999999999997" x14ac:dyDescent="0.3">
      <c r="A70" s="3"/>
      <c r="B70" s="69" t="s">
        <v>67</v>
      </c>
      <c r="C70" s="82">
        <v>21929.4</v>
      </c>
      <c r="D70" s="82">
        <v>22474.05</v>
      </c>
      <c r="E70" s="82">
        <v>22422.7</v>
      </c>
      <c r="F70" s="121">
        <v>22326.9</v>
      </c>
      <c r="G70" s="81">
        <v>22526.6</v>
      </c>
      <c r="H70" s="121">
        <v>17312.75</v>
      </c>
      <c r="I70" s="121">
        <v>23519.35</v>
      </c>
      <c r="J70" s="121">
        <v>26277.35</v>
      </c>
      <c r="K70" s="121">
        <v>21281.45</v>
      </c>
      <c r="L70" s="121">
        <v>22331.4</v>
      </c>
      <c r="M70" s="121">
        <v>26373.200000000001</v>
      </c>
      <c r="N70" s="121">
        <v>21743.65</v>
      </c>
    </row>
    <row r="71" spans="1:14" ht="20.25" customHeight="1" x14ac:dyDescent="0.3">
      <c r="A71" s="3"/>
      <c r="B71" s="253" t="s">
        <v>99</v>
      </c>
      <c r="C71" s="270"/>
      <c r="D71" s="270"/>
      <c r="E71" s="270"/>
      <c r="F71" s="270"/>
      <c r="G71" s="270"/>
      <c r="H71" s="270"/>
      <c r="I71" s="270"/>
      <c r="J71" s="270"/>
      <c r="K71" s="270"/>
      <c r="L71" s="270"/>
      <c r="M71" s="270"/>
      <c r="N71" s="254"/>
    </row>
    <row r="72" spans="1:14" ht="20.25" customHeight="1" x14ac:dyDescent="0.3">
      <c r="A72" s="3"/>
      <c r="B72" s="253" t="s">
        <v>796</v>
      </c>
      <c r="C72" s="270"/>
      <c r="D72" s="270"/>
      <c r="E72" s="270"/>
      <c r="F72" s="254"/>
      <c r="G72" s="83"/>
      <c r="H72" s="83"/>
      <c r="I72" s="83"/>
      <c r="J72" s="83"/>
      <c r="K72" s="83"/>
      <c r="L72" s="83"/>
      <c r="M72" s="83"/>
      <c r="N72" s="83"/>
    </row>
    <row r="73" spans="1:14" ht="39" customHeight="1" x14ac:dyDescent="0.3">
      <c r="A73" s="3"/>
      <c r="B73" s="253" t="s">
        <v>952</v>
      </c>
      <c r="C73" s="270"/>
      <c r="D73" s="270"/>
      <c r="E73" s="270"/>
      <c r="F73" s="254"/>
      <c r="G73" s="83"/>
      <c r="H73" s="83"/>
      <c r="I73" s="83"/>
      <c r="J73" s="83"/>
      <c r="K73" s="83"/>
      <c r="L73" s="83"/>
      <c r="M73" s="83"/>
      <c r="N73" s="83"/>
    </row>
    <row r="74" spans="1:14" ht="21" x14ac:dyDescent="0.3">
      <c r="A74" s="3"/>
      <c r="B74" s="253" t="s">
        <v>71</v>
      </c>
      <c r="C74" s="270"/>
      <c r="D74" s="270"/>
      <c r="E74" s="270"/>
      <c r="F74" s="254"/>
      <c r="G74" s="83"/>
      <c r="H74" s="83"/>
      <c r="I74" s="83"/>
      <c r="J74" s="83"/>
      <c r="K74" s="83"/>
      <c r="L74" s="83"/>
      <c r="M74" s="83"/>
      <c r="N74" s="83"/>
    </row>
    <row r="75" spans="1:14" ht="21" hidden="1" x14ac:dyDescent="0.3">
      <c r="A75" s="3"/>
      <c r="B75" s="270" t="s">
        <v>641</v>
      </c>
      <c r="C75" s="270"/>
      <c r="D75" s="84"/>
      <c r="E75" s="84"/>
      <c r="F75" s="84"/>
      <c r="G75" s="10"/>
      <c r="H75" s="10"/>
      <c r="I75" s="10"/>
      <c r="J75" s="10"/>
      <c r="K75" s="10"/>
      <c r="L75" s="10"/>
      <c r="M75" s="10"/>
      <c r="N75" s="10"/>
    </row>
    <row r="76" spans="1:14" ht="39" customHeight="1" x14ac:dyDescent="0.3">
      <c r="A76" s="3">
        <v>13</v>
      </c>
      <c r="B76" s="261" t="s">
        <v>51</v>
      </c>
      <c r="C76" s="262"/>
      <c r="D76" s="262"/>
      <c r="E76" s="262"/>
      <c r="F76" s="262"/>
      <c r="G76" s="263"/>
      <c r="H76" s="2"/>
      <c r="I76" s="2"/>
      <c r="J76" s="2"/>
      <c r="K76" s="2"/>
      <c r="L76" s="2"/>
      <c r="M76" s="2"/>
      <c r="N76" s="2"/>
    </row>
    <row r="77" spans="1:14" ht="21" x14ac:dyDescent="0.3">
      <c r="A77" s="3"/>
      <c r="B77" s="1"/>
      <c r="C77" s="66"/>
      <c r="D77" s="66"/>
      <c r="E77" s="66"/>
      <c r="F77" s="66"/>
      <c r="G77" s="66"/>
      <c r="H77" s="66"/>
      <c r="I77" s="66"/>
      <c r="J77" s="66"/>
      <c r="K77" s="66"/>
      <c r="L77" s="66"/>
      <c r="M77" s="66"/>
      <c r="N77" s="66"/>
    </row>
    <row r="78" spans="1:14" ht="61.2" x14ac:dyDescent="0.3">
      <c r="A78" s="3"/>
      <c r="B78" s="25" t="s">
        <v>52</v>
      </c>
      <c r="C78" s="25" t="s">
        <v>53</v>
      </c>
      <c r="D78" s="25" t="s">
        <v>953</v>
      </c>
      <c r="E78" s="25" t="s">
        <v>54</v>
      </c>
      <c r="F78" s="25" t="s">
        <v>55</v>
      </c>
      <c r="G78" s="25" t="s">
        <v>55</v>
      </c>
      <c r="H78" s="25" t="s">
        <v>954</v>
      </c>
      <c r="I78" s="10"/>
      <c r="J78" s="10"/>
      <c r="K78" s="10"/>
      <c r="L78" s="10"/>
      <c r="M78" s="10"/>
      <c r="N78" s="10"/>
    </row>
    <row r="79" spans="1:14" ht="21" customHeight="1" x14ac:dyDescent="0.3">
      <c r="A79" s="3"/>
      <c r="B79" s="310" t="s">
        <v>72</v>
      </c>
      <c r="C79" s="54" t="s">
        <v>677</v>
      </c>
      <c r="D79" s="134">
        <v>7.83</v>
      </c>
      <c r="E79" s="88">
        <v>5.44</v>
      </c>
      <c r="F79" s="152">
        <v>4.5</v>
      </c>
      <c r="G79" s="449" t="s">
        <v>83</v>
      </c>
      <c r="H79" s="5">
        <v>3.29</v>
      </c>
      <c r="I79" s="1"/>
      <c r="J79" s="1"/>
      <c r="K79" s="1"/>
      <c r="L79" s="1"/>
      <c r="M79" s="1"/>
      <c r="N79" s="1"/>
    </row>
    <row r="80" spans="1:14" ht="21" customHeight="1" x14ac:dyDescent="0.3">
      <c r="A80" s="3"/>
      <c r="B80" s="310"/>
      <c r="C80" s="54" t="s">
        <v>237</v>
      </c>
      <c r="D80" s="135"/>
      <c r="E80" s="88"/>
      <c r="F80" s="152"/>
      <c r="G80" s="449"/>
      <c r="H80" s="5"/>
      <c r="I80" s="1"/>
      <c r="J80" s="1"/>
      <c r="K80" s="60"/>
      <c r="L80" s="1"/>
      <c r="M80" s="1"/>
      <c r="N80" s="1"/>
    </row>
    <row r="81" spans="1:14" ht="21" customHeight="1" x14ac:dyDescent="0.3">
      <c r="A81" s="3"/>
      <c r="B81" s="310"/>
      <c r="C81" s="5" t="s">
        <v>955</v>
      </c>
      <c r="D81" s="135">
        <v>3.45</v>
      </c>
      <c r="E81" s="88">
        <v>-14.95</v>
      </c>
      <c r="F81" s="152">
        <v>-31.14</v>
      </c>
      <c r="G81" s="449"/>
      <c r="H81" s="5">
        <v>-79.959999999999994</v>
      </c>
      <c r="I81" s="1"/>
      <c r="J81" s="1"/>
      <c r="K81" s="1"/>
      <c r="L81" s="1"/>
      <c r="M81" s="1"/>
      <c r="N81" s="1"/>
    </row>
    <row r="82" spans="1:14" ht="21" customHeight="1" x14ac:dyDescent="0.3">
      <c r="A82" s="3"/>
      <c r="B82" s="310"/>
      <c r="C82" s="5" t="s">
        <v>956</v>
      </c>
      <c r="D82" s="135">
        <v>12.48</v>
      </c>
      <c r="E82" s="152">
        <v>-50.02</v>
      </c>
      <c r="F82" s="152">
        <v>11.99</v>
      </c>
      <c r="G82" s="449"/>
      <c r="H82" s="5">
        <v>-14.32</v>
      </c>
      <c r="I82" s="1"/>
      <c r="J82" s="1"/>
      <c r="K82" s="1"/>
      <c r="L82" s="1"/>
      <c r="M82" s="1"/>
      <c r="N82" s="1"/>
    </row>
    <row r="83" spans="1:14" ht="21" customHeight="1" x14ac:dyDescent="0.3">
      <c r="A83" s="3"/>
      <c r="B83" s="310"/>
      <c r="C83" s="5" t="s">
        <v>678</v>
      </c>
      <c r="D83" s="135">
        <v>0.5</v>
      </c>
      <c r="E83" s="88">
        <v>1.47</v>
      </c>
      <c r="F83" s="152">
        <v>7.08</v>
      </c>
      <c r="G83" s="449"/>
      <c r="H83" s="5">
        <v>2.82</v>
      </c>
      <c r="I83" s="1"/>
      <c r="J83" s="1"/>
      <c r="K83" s="1"/>
      <c r="L83" s="1"/>
      <c r="M83" s="1"/>
      <c r="N83" s="1"/>
    </row>
    <row r="84" spans="1:14" ht="21" customHeight="1" x14ac:dyDescent="0.3">
      <c r="A84" s="3"/>
      <c r="B84" s="310"/>
      <c r="C84" s="5" t="s">
        <v>679</v>
      </c>
      <c r="D84" s="135">
        <v>8.33</v>
      </c>
      <c r="E84" s="88">
        <v>-2.92</v>
      </c>
      <c r="F84" s="152">
        <v>-7.06</v>
      </c>
      <c r="G84" s="449"/>
      <c r="H84" s="5">
        <v>-5.24</v>
      </c>
      <c r="I84" s="1"/>
      <c r="J84" s="1"/>
      <c r="K84" s="1"/>
      <c r="L84" s="1"/>
      <c r="M84" s="1"/>
      <c r="N84" s="1"/>
    </row>
    <row r="85" spans="1:14" ht="21" customHeight="1" x14ac:dyDescent="0.3">
      <c r="A85" s="3"/>
      <c r="B85" s="310"/>
      <c r="C85" s="5" t="s">
        <v>680</v>
      </c>
      <c r="D85" s="135">
        <v>1.5</v>
      </c>
      <c r="E85" s="88">
        <v>-28.22</v>
      </c>
      <c r="F85" s="152">
        <v>33.340000000000003</v>
      </c>
      <c r="G85" s="449"/>
      <c r="H85" s="5">
        <v>-17.45</v>
      </c>
      <c r="I85" s="1"/>
      <c r="J85" s="1"/>
      <c r="K85" s="1"/>
      <c r="L85" s="1"/>
      <c r="M85" s="1"/>
      <c r="N85" s="1"/>
    </row>
    <row r="86" spans="1:14" ht="21" customHeight="1" x14ac:dyDescent="0.3">
      <c r="A86" s="3"/>
      <c r="B86" s="310"/>
      <c r="C86" s="54" t="s">
        <v>295</v>
      </c>
      <c r="D86" s="140">
        <f>AVERAGE(D81:D85)</f>
        <v>5.2519999999999998</v>
      </c>
      <c r="E86" s="116">
        <f>AVERAGE(E81:E85)</f>
        <v>-18.928000000000001</v>
      </c>
      <c r="F86" s="181">
        <f>AVERAGE(F81:F85)</f>
        <v>2.842000000000001</v>
      </c>
      <c r="G86" s="449"/>
      <c r="H86" s="54">
        <f>AVERAGE(H81:H85)</f>
        <v>-22.830000000000002</v>
      </c>
      <c r="I86" s="1"/>
      <c r="J86" s="1"/>
      <c r="K86" s="1"/>
      <c r="L86" s="1"/>
      <c r="M86" s="1"/>
      <c r="N86" s="1"/>
    </row>
    <row r="87" spans="1:14" ht="21" x14ac:dyDescent="0.3">
      <c r="A87" s="3"/>
      <c r="B87" s="310" t="s">
        <v>59</v>
      </c>
      <c r="C87" s="54" t="s">
        <v>383</v>
      </c>
      <c r="D87" s="135">
        <v>22.99</v>
      </c>
      <c r="E87" s="88">
        <v>16.22</v>
      </c>
      <c r="F87" s="159">
        <f>O87/F79</f>
        <v>0</v>
      </c>
      <c r="G87" s="449"/>
      <c r="H87" s="121">
        <f>L69/H79</f>
        <v>6.4893617021276597</v>
      </c>
      <c r="I87" s="1"/>
      <c r="J87" s="1"/>
      <c r="K87" s="1"/>
      <c r="L87" s="1"/>
      <c r="M87" s="1"/>
      <c r="N87" s="1"/>
    </row>
    <row r="88" spans="1:14" ht="21" x14ac:dyDescent="0.3">
      <c r="A88" s="3"/>
      <c r="B88" s="310"/>
      <c r="C88" s="54" t="s">
        <v>237</v>
      </c>
      <c r="D88" s="135"/>
      <c r="E88" s="88"/>
      <c r="F88" s="159"/>
      <c r="G88" s="449"/>
      <c r="H88" s="5"/>
      <c r="I88" s="1"/>
      <c r="J88" s="1"/>
      <c r="K88" s="1"/>
      <c r="L88" s="1"/>
      <c r="M88" s="1"/>
      <c r="N88" s="1"/>
    </row>
    <row r="89" spans="1:14" ht="21" x14ac:dyDescent="0.3">
      <c r="A89" s="3"/>
      <c r="B89" s="310"/>
      <c r="C89" s="5" t="s">
        <v>384</v>
      </c>
      <c r="D89" s="135">
        <v>48.3</v>
      </c>
      <c r="E89" s="88">
        <v>-9.5500000000000007</v>
      </c>
      <c r="F89" s="159">
        <f>O89/F81</f>
        <v>0</v>
      </c>
      <c r="G89" s="449"/>
      <c r="H89" s="121">
        <f>74.21/H81</f>
        <v>-0.92808904452226115</v>
      </c>
      <c r="I89" s="1"/>
      <c r="J89" s="1"/>
      <c r="K89" s="1"/>
      <c r="L89" s="1"/>
      <c r="M89" s="1"/>
      <c r="N89" s="1"/>
    </row>
    <row r="90" spans="1:14" ht="21" x14ac:dyDescent="0.3">
      <c r="A90" s="3"/>
      <c r="B90" s="310"/>
      <c r="C90" s="5" t="s">
        <v>385</v>
      </c>
      <c r="D90" s="135">
        <v>2.13</v>
      </c>
      <c r="E90" s="152"/>
      <c r="F90" s="159">
        <f>I69/F82</f>
        <v>4.1492910758965804</v>
      </c>
      <c r="G90" s="449"/>
      <c r="H90" s="121">
        <f>L69/H82</f>
        <v>-1.4909217877094973</v>
      </c>
      <c r="I90" s="1"/>
      <c r="J90" s="1"/>
      <c r="K90" s="1"/>
      <c r="L90" s="1"/>
      <c r="M90" s="1"/>
      <c r="N90" s="1"/>
    </row>
    <row r="91" spans="1:14" ht="21" x14ac:dyDescent="0.3">
      <c r="A91" s="3"/>
      <c r="B91" s="310"/>
      <c r="C91" s="5" t="s">
        <v>386</v>
      </c>
      <c r="D91" s="135">
        <v>500.1</v>
      </c>
      <c r="E91" s="88">
        <v>94.25</v>
      </c>
      <c r="F91" s="159">
        <f>O91/F83</f>
        <v>0</v>
      </c>
      <c r="G91" s="449"/>
      <c r="H91" s="121">
        <f>72.14/H83</f>
        <v>25.581560283687946</v>
      </c>
      <c r="I91" s="1"/>
      <c r="J91" s="1"/>
      <c r="K91" s="1"/>
      <c r="L91" s="1"/>
      <c r="M91" s="1"/>
      <c r="N91" s="1"/>
    </row>
    <row r="92" spans="1:14" ht="21" x14ac:dyDescent="0.3">
      <c r="A92" s="3"/>
      <c r="B92" s="310"/>
      <c r="C92" s="5" t="s">
        <v>387</v>
      </c>
      <c r="D92" s="135">
        <v>11.24</v>
      </c>
      <c r="E92" s="88">
        <v>-28.63</v>
      </c>
      <c r="F92" s="159">
        <f>O92/F84</f>
        <v>0</v>
      </c>
      <c r="G92" s="449"/>
      <c r="H92" s="121">
        <f>38/H84</f>
        <v>-7.2519083969465647</v>
      </c>
      <c r="I92" s="1"/>
      <c r="J92" s="1"/>
      <c r="K92" s="1"/>
      <c r="L92" s="1"/>
      <c r="M92" s="1"/>
      <c r="N92" s="1"/>
    </row>
    <row r="93" spans="1:14" ht="21" x14ac:dyDescent="0.3">
      <c r="A93" s="3"/>
      <c r="B93" s="310"/>
      <c r="C93" s="5" t="s">
        <v>388</v>
      </c>
      <c r="D93" s="135">
        <v>66.430000000000007</v>
      </c>
      <c r="E93" s="88">
        <v>-21.71</v>
      </c>
      <c r="F93" s="159">
        <f>O93/F85</f>
        <v>0</v>
      </c>
      <c r="G93" s="449"/>
      <c r="H93" s="121">
        <f>49.75/H85</f>
        <v>-2.8510028653295132</v>
      </c>
      <c r="I93" s="1"/>
      <c r="J93" s="1"/>
      <c r="K93" s="1"/>
      <c r="L93" s="1"/>
      <c r="M93" s="1"/>
      <c r="N93" s="1"/>
    </row>
    <row r="94" spans="1:14" ht="21" x14ac:dyDescent="0.3">
      <c r="A94" s="3"/>
      <c r="B94" s="310"/>
      <c r="C94" s="54" t="s">
        <v>295</v>
      </c>
      <c r="D94" s="140">
        <f>AVERAGE(D89:D93)</f>
        <v>125.64000000000001</v>
      </c>
      <c r="E94" s="116">
        <f>AVERAGE(E89:E93)</f>
        <v>8.5900000000000016</v>
      </c>
      <c r="F94" s="181">
        <f>AVERAGE(F89:F93)</f>
        <v>0.82985821517931613</v>
      </c>
      <c r="G94" s="449"/>
      <c r="H94" s="181">
        <f>AVERAGE(H89:H93)</f>
        <v>2.6119276378360219</v>
      </c>
      <c r="I94" s="1"/>
      <c r="J94" s="1"/>
      <c r="K94" s="1"/>
      <c r="L94" s="1"/>
      <c r="M94" s="1"/>
      <c r="N94" s="1"/>
    </row>
    <row r="95" spans="1:14" ht="21" x14ac:dyDescent="0.3">
      <c r="A95" s="3"/>
      <c r="B95" s="310" t="s">
        <v>60</v>
      </c>
      <c r="C95" s="54" t="s">
        <v>383</v>
      </c>
      <c r="D95" s="142">
        <v>0.4012</v>
      </c>
      <c r="E95" s="110">
        <v>8.5900000000000004E-2</v>
      </c>
      <c r="F95" s="154">
        <v>7.964352440817378E-2</v>
      </c>
      <c r="G95" s="449"/>
      <c r="H95" s="126">
        <v>5.5199999999999999E-2</v>
      </c>
      <c r="I95" s="1"/>
      <c r="J95" s="1"/>
      <c r="K95" s="1"/>
      <c r="L95" s="1"/>
      <c r="M95" s="1"/>
      <c r="N95" s="1"/>
    </row>
    <row r="96" spans="1:14" ht="21" x14ac:dyDescent="0.3">
      <c r="A96" s="3"/>
      <c r="B96" s="310"/>
      <c r="C96" s="54" t="s">
        <v>237</v>
      </c>
      <c r="D96" s="5"/>
      <c r="E96" s="88"/>
      <c r="F96" s="154"/>
      <c r="G96" s="449"/>
      <c r="H96" s="5"/>
      <c r="I96" s="1"/>
      <c r="J96" s="1"/>
      <c r="K96" s="1"/>
      <c r="L96" s="1"/>
      <c r="M96" s="1"/>
      <c r="N96" s="1"/>
    </row>
    <row r="97" spans="1:14" ht="21" x14ac:dyDescent="0.3">
      <c r="A97" s="3"/>
      <c r="B97" s="310"/>
      <c r="C97" s="5" t="s">
        <v>384</v>
      </c>
      <c r="D97" s="142">
        <v>1.5900000000000001E-2</v>
      </c>
      <c r="E97" s="110">
        <v>7.1999999999999995E-2</v>
      </c>
      <c r="F97" s="154">
        <v>-0.17904575406685624</v>
      </c>
      <c r="G97" s="449"/>
      <c r="H97" s="126">
        <v>-0.81640000000000001</v>
      </c>
      <c r="I97" s="1"/>
      <c r="J97" s="1"/>
      <c r="K97" s="1"/>
      <c r="L97" s="1"/>
      <c r="M97" s="1"/>
      <c r="N97" s="1"/>
    </row>
    <row r="98" spans="1:14" ht="21" x14ac:dyDescent="0.3">
      <c r="A98" s="3"/>
      <c r="B98" s="310"/>
      <c r="C98" s="5" t="s">
        <v>385</v>
      </c>
      <c r="D98" s="142">
        <v>0.1134</v>
      </c>
      <c r="E98" s="154">
        <v>-0.76381613514417179</v>
      </c>
      <c r="F98" s="152">
        <v>15.01</v>
      </c>
      <c r="G98" s="449"/>
      <c r="H98" s="5">
        <v>-18.440000000000001</v>
      </c>
      <c r="I98" s="1"/>
      <c r="J98" s="1"/>
      <c r="K98" s="1"/>
      <c r="L98" s="1"/>
      <c r="M98" s="1"/>
      <c r="N98" s="1"/>
    </row>
    <row r="99" spans="1:14" ht="21" x14ac:dyDescent="0.3">
      <c r="A99" s="3"/>
      <c r="B99" s="310"/>
      <c r="C99" s="5" t="s">
        <v>386</v>
      </c>
      <c r="D99" s="142">
        <v>4.4999999999999997E-3</v>
      </c>
      <c r="E99" s="154">
        <v>5.3E-3</v>
      </c>
      <c r="F99" s="154">
        <v>5.9600811556002567E-2</v>
      </c>
      <c r="G99" s="449"/>
      <c r="H99" s="126">
        <v>2.3099999999999999E-2</v>
      </c>
      <c r="I99" s="1"/>
      <c r="J99" s="1"/>
      <c r="K99" s="1"/>
      <c r="L99" s="1"/>
      <c r="M99" s="1"/>
      <c r="N99" s="1"/>
    </row>
    <row r="100" spans="1:14" ht="21" x14ac:dyDescent="0.3">
      <c r="A100" s="3"/>
      <c r="B100" s="310"/>
      <c r="C100" s="5" t="s">
        <v>387</v>
      </c>
      <c r="D100" s="142">
        <v>0.90990000000000004</v>
      </c>
      <c r="E100" s="110">
        <v>-0.13300000000000001</v>
      </c>
      <c r="F100" s="154">
        <v>-8.9864061222074382E-2</v>
      </c>
      <c r="G100" s="449"/>
      <c r="H100" s="126">
        <v>0.21490000000000001</v>
      </c>
      <c r="I100" s="1"/>
      <c r="J100" s="1"/>
      <c r="K100" s="1"/>
      <c r="L100" s="1"/>
      <c r="M100" s="1"/>
      <c r="N100" s="1"/>
    </row>
    <row r="101" spans="1:14" ht="21" x14ac:dyDescent="0.3">
      <c r="A101" s="3"/>
      <c r="B101" s="310"/>
      <c r="C101" s="5" t="s">
        <v>388</v>
      </c>
      <c r="D101" s="142">
        <v>3.39E-2</v>
      </c>
      <c r="E101" s="137">
        <v>-0.79590000000000005</v>
      </c>
      <c r="F101" s="154">
        <v>0.62905102813951075</v>
      </c>
      <c r="G101" s="449"/>
      <c r="H101" s="126">
        <v>-0.54849999999999999</v>
      </c>
      <c r="I101" s="1"/>
      <c r="J101" s="1"/>
      <c r="K101" s="1"/>
      <c r="L101" s="1"/>
      <c r="M101" s="1"/>
      <c r="N101" s="1"/>
    </row>
    <row r="102" spans="1:14" ht="21" x14ac:dyDescent="0.3">
      <c r="A102" s="3"/>
      <c r="B102" s="310"/>
      <c r="C102" s="54" t="s">
        <v>295</v>
      </c>
      <c r="D102" s="143">
        <f>AVERAGE(D97:D101)</f>
        <v>0.21552000000000002</v>
      </c>
      <c r="E102" s="131">
        <f>AVERAGE(E97:E101)</f>
        <v>-0.32308322702883441</v>
      </c>
      <c r="F102" s="165">
        <f>AVERAGE(F97:F101)</f>
        <v>3.0859484048813166</v>
      </c>
      <c r="G102" s="449"/>
      <c r="H102" s="230">
        <f>AVERAGE(H97:H101)</f>
        <v>-3.913380000000001</v>
      </c>
      <c r="I102" s="1"/>
      <c r="J102" s="1"/>
      <c r="K102" s="1"/>
      <c r="L102" s="1"/>
      <c r="M102" s="1"/>
      <c r="N102" s="1"/>
    </row>
    <row r="103" spans="1:14" ht="21" x14ac:dyDescent="0.3">
      <c r="A103" s="3"/>
      <c r="B103" s="310" t="s">
        <v>61</v>
      </c>
      <c r="C103" s="54" t="s">
        <v>383</v>
      </c>
      <c r="D103" s="135">
        <v>13.77</v>
      </c>
      <c r="E103" s="152">
        <v>51.93</v>
      </c>
      <c r="F103" s="159">
        <v>56.436693089667713</v>
      </c>
      <c r="G103" s="449"/>
      <c r="H103" s="5">
        <v>59.73</v>
      </c>
      <c r="I103" s="1"/>
      <c r="J103" s="1"/>
      <c r="K103" s="1"/>
      <c r="L103" s="1"/>
      <c r="M103" s="1"/>
      <c r="N103" s="1"/>
    </row>
    <row r="104" spans="1:14" ht="21" x14ac:dyDescent="0.3">
      <c r="A104" s="3"/>
      <c r="B104" s="310"/>
      <c r="C104" s="54" t="s">
        <v>237</v>
      </c>
      <c r="D104" s="135"/>
      <c r="E104" s="152"/>
      <c r="F104" s="159"/>
      <c r="G104" s="231"/>
      <c r="H104" s="5"/>
      <c r="I104" s="1"/>
      <c r="J104" s="1"/>
      <c r="K104" s="1"/>
      <c r="L104" s="1"/>
      <c r="M104" s="1"/>
      <c r="N104" s="1"/>
    </row>
    <row r="105" spans="1:14" ht="21" x14ac:dyDescent="0.3">
      <c r="A105" s="3"/>
      <c r="B105" s="310"/>
      <c r="C105" s="5" t="s">
        <v>384</v>
      </c>
      <c r="D105" s="151">
        <v>216.11</v>
      </c>
      <c r="E105" s="159">
        <v>2.0337000000000001</v>
      </c>
      <c r="F105" s="159">
        <v>172.67475732970564</v>
      </c>
      <c r="G105" s="232"/>
      <c r="H105" s="88">
        <v>93.01</v>
      </c>
      <c r="I105" s="1"/>
      <c r="J105" s="1"/>
      <c r="K105" s="1"/>
      <c r="L105" s="1"/>
      <c r="M105" s="1"/>
      <c r="N105" s="1"/>
    </row>
    <row r="106" spans="1:14" ht="21" x14ac:dyDescent="0.3">
      <c r="A106" s="3"/>
      <c r="B106" s="310"/>
      <c r="C106" s="5" t="s">
        <v>385</v>
      </c>
      <c r="D106" s="151">
        <v>107.16</v>
      </c>
      <c r="E106" s="159">
        <v>65.482538603101801</v>
      </c>
      <c r="F106" s="152">
        <v>79.89</v>
      </c>
      <c r="G106" s="232"/>
      <c r="H106" s="88">
        <v>77.63</v>
      </c>
      <c r="I106" s="1"/>
      <c r="J106" s="1"/>
      <c r="K106" s="1"/>
      <c r="L106" s="1"/>
      <c r="M106" s="1"/>
      <c r="N106" s="1"/>
    </row>
    <row r="107" spans="1:14" ht="21" x14ac:dyDescent="0.3">
      <c r="A107" s="3"/>
      <c r="B107" s="310"/>
      <c r="C107" s="5" t="s">
        <v>386</v>
      </c>
      <c r="D107" s="134">
        <v>111.63</v>
      </c>
      <c r="E107" s="152">
        <v>113.19</v>
      </c>
      <c r="F107" s="153">
        <v>120.07461546170508</v>
      </c>
      <c r="G107" s="233"/>
      <c r="H107" s="90">
        <v>122.1</v>
      </c>
      <c r="I107" s="1"/>
      <c r="J107" s="1"/>
      <c r="K107" s="1"/>
      <c r="L107" s="1"/>
      <c r="M107" s="1"/>
      <c r="N107" s="1"/>
    </row>
    <row r="108" spans="1:14" ht="21" x14ac:dyDescent="0.3">
      <c r="A108" s="3"/>
      <c r="B108" s="310"/>
      <c r="C108" s="5" t="s">
        <v>387</v>
      </c>
      <c r="D108" s="134">
        <v>90.19</v>
      </c>
      <c r="E108" s="152">
        <v>22.7</v>
      </c>
      <c r="F108" s="153">
        <v>83.424410676017928</v>
      </c>
      <c r="G108" s="233"/>
      <c r="H108" s="88">
        <v>-24.19</v>
      </c>
      <c r="I108" s="1"/>
      <c r="J108" s="1"/>
      <c r="K108" s="1"/>
      <c r="L108" s="1"/>
      <c r="M108" s="1"/>
      <c r="N108" s="1"/>
    </row>
    <row r="109" spans="1:14" ht="21" x14ac:dyDescent="0.3">
      <c r="A109" s="3"/>
      <c r="B109" s="310"/>
      <c r="C109" s="5" t="s">
        <v>388</v>
      </c>
      <c r="D109" s="134">
        <v>41.81</v>
      </c>
      <c r="E109" s="152">
        <v>13.59</v>
      </c>
      <c r="F109" s="153">
        <v>46.932367524016115</v>
      </c>
      <c r="G109" s="233"/>
      <c r="H109" s="88">
        <v>31.81</v>
      </c>
      <c r="I109" s="1"/>
      <c r="J109" s="1"/>
      <c r="K109" s="1"/>
      <c r="L109" s="1"/>
      <c r="M109" s="1"/>
      <c r="N109" s="1"/>
    </row>
    <row r="110" spans="1:14" ht="21" x14ac:dyDescent="0.35">
      <c r="A110" s="3"/>
      <c r="B110" s="310"/>
      <c r="C110" s="54" t="s">
        <v>295</v>
      </c>
      <c r="D110" s="144">
        <f>AVERAGE(D105:D109)</f>
        <v>113.37999999999997</v>
      </c>
      <c r="E110" s="158">
        <f>AVERAGE(E105:E109)</f>
        <v>43.399247720620352</v>
      </c>
      <c r="F110" s="158">
        <f>AVERAGE(F105:F109)</f>
        <v>100.59923019828895</v>
      </c>
      <c r="G110" s="234"/>
      <c r="H110" s="235">
        <f>AVERAGE(H105:H109)</f>
        <v>60.072000000000003</v>
      </c>
      <c r="I110" s="1"/>
      <c r="J110" s="1"/>
      <c r="K110" s="1"/>
      <c r="L110" s="1"/>
      <c r="M110" s="1"/>
      <c r="N110" s="1"/>
    </row>
    <row r="111" spans="1:14" ht="21" x14ac:dyDescent="0.3">
      <c r="A111" s="3"/>
      <c r="B111" s="301"/>
      <c r="C111" s="302"/>
      <c r="D111" s="302"/>
      <c r="E111" s="302"/>
      <c r="F111" s="302"/>
      <c r="G111" s="302"/>
      <c r="H111" s="5"/>
      <c r="I111" s="1"/>
      <c r="J111" s="1"/>
      <c r="K111" s="1"/>
      <c r="L111" s="1"/>
      <c r="M111" s="1"/>
      <c r="N111" s="1"/>
    </row>
    <row r="112" spans="1:14" ht="40.5" customHeight="1" x14ac:dyDescent="0.3">
      <c r="A112" s="3"/>
      <c r="B112" s="450"/>
      <c r="C112" s="450"/>
      <c r="D112" s="450"/>
      <c r="E112" s="146"/>
      <c r="F112" s="146"/>
      <c r="G112" s="146"/>
      <c r="H112" s="1"/>
      <c r="I112" s="1"/>
      <c r="J112" s="1"/>
      <c r="K112" s="1"/>
      <c r="L112" s="1"/>
      <c r="M112" s="1"/>
      <c r="N112" s="1"/>
    </row>
    <row r="113" spans="1:14" ht="21" x14ac:dyDescent="0.3">
      <c r="A113" s="2"/>
      <c r="B113" s="403"/>
      <c r="C113" s="403"/>
      <c r="D113" s="403"/>
      <c r="E113" s="403"/>
      <c r="F113" s="403"/>
      <c r="G113" s="403"/>
      <c r="H113" s="2"/>
      <c r="I113" s="2"/>
      <c r="J113" s="2"/>
      <c r="K113" s="2"/>
      <c r="L113" s="2"/>
      <c r="M113" s="2"/>
      <c r="N113" s="2"/>
    </row>
    <row r="114" spans="1:14" ht="21" x14ac:dyDescent="0.3">
      <c r="A114" s="3"/>
      <c r="B114" s="403" t="s">
        <v>576</v>
      </c>
      <c r="C114" s="403"/>
      <c r="D114" s="403"/>
      <c r="E114" s="403"/>
      <c r="F114" s="403"/>
      <c r="G114" s="403"/>
      <c r="H114" s="1"/>
      <c r="I114" s="1"/>
      <c r="J114" s="1"/>
      <c r="K114" s="1"/>
      <c r="L114" s="1"/>
      <c r="M114" s="1"/>
      <c r="N114" s="1"/>
    </row>
    <row r="115" spans="1:14" ht="46.2" customHeight="1" x14ac:dyDescent="0.3">
      <c r="A115" s="3"/>
      <c r="B115" s="403" t="s">
        <v>957</v>
      </c>
      <c r="C115" s="403"/>
      <c r="D115" s="403"/>
      <c r="E115" s="403"/>
      <c r="F115" s="403"/>
      <c r="G115" s="5"/>
      <c r="H115" s="1"/>
      <c r="I115" s="1"/>
      <c r="J115" s="1"/>
      <c r="K115" s="1"/>
      <c r="L115" s="1"/>
      <c r="M115" s="1"/>
      <c r="N115" s="1"/>
    </row>
    <row r="116" spans="1:14" ht="21" x14ac:dyDescent="0.3">
      <c r="A116" s="1"/>
      <c r="B116" s="1"/>
      <c r="C116" s="306"/>
      <c r="D116" s="306"/>
      <c r="E116" s="306"/>
      <c r="F116" s="306"/>
      <c r="G116" s="306"/>
      <c r="H116" s="1"/>
      <c r="I116" s="1"/>
      <c r="J116" s="1"/>
      <c r="K116" s="1"/>
      <c r="L116" s="1"/>
      <c r="M116" s="1"/>
      <c r="N116" s="1"/>
    </row>
    <row r="117" spans="1:14" ht="21" x14ac:dyDescent="0.3">
      <c r="A117" s="3">
        <v>14</v>
      </c>
      <c r="B117" s="54" t="s">
        <v>63</v>
      </c>
      <c r="C117" s="300" t="s">
        <v>50</v>
      </c>
      <c r="D117" s="300"/>
      <c r="E117" s="300"/>
      <c r="F117" s="300"/>
      <c r="G117" s="300"/>
      <c r="H117" s="1"/>
      <c r="I117" s="1"/>
      <c r="J117" s="1"/>
      <c r="K117" s="1"/>
      <c r="L117" s="1"/>
      <c r="M117" s="1"/>
      <c r="N117" s="1"/>
    </row>
    <row r="118" spans="1:14" ht="21" x14ac:dyDescent="0.3">
      <c r="A118" s="1"/>
      <c r="B118" s="1"/>
      <c r="C118" s="55"/>
      <c r="D118" s="55"/>
      <c r="E118" s="55"/>
      <c r="F118" s="55"/>
      <c r="G118" s="55"/>
      <c r="H118" s="1"/>
      <c r="I118" s="1"/>
      <c r="J118" s="1"/>
      <c r="K118" s="1"/>
      <c r="L118" s="1"/>
      <c r="M118" s="1"/>
      <c r="N118" s="1"/>
    </row>
    <row r="119" spans="1:14" ht="21" x14ac:dyDescent="0.3">
      <c r="A119" s="1"/>
      <c r="B119" s="299" t="s">
        <v>389</v>
      </c>
      <c r="C119" s="299"/>
      <c r="D119" s="299"/>
      <c r="E119" s="299"/>
      <c r="F119" s="299"/>
      <c r="G119" s="299"/>
      <c r="H119" s="299"/>
      <c r="I119" s="1"/>
      <c r="J119" s="1"/>
      <c r="K119" s="1"/>
      <c r="L119" s="1"/>
      <c r="M119" s="1"/>
      <c r="N119" s="1"/>
    </row>
  </sheetData>
  <mergeCells count="65">
    <mergeCell ref="B119:H119"/>
    <mergeCell ref="B111:G111"/>
    <mergeCell ref="B113:G113"/>
    <mergeCell ref="B114:G114"/>
    <mergeCell ref="C116:G116"/>
    <mergeCell ref="C117:G117"/>
    <mergeCell ref="B112:D112"/>
    <mergeCell ref="B115:F115"/>
    <mergeCell ref="B73:F73"/>
    <mergeCell ref="B74:F74"/>
    <mergeCell ref="B76:G76"/>
    <mergeCell ref="B79:B86"/>
    <mergeCell ref="G79:G103"/>
    <mergeCell ref="B87:B94"/>
    <mergeCell ref="B95:B102"/>
    <mergeCell ref="B103:B110"/>
    <mergeCell ref="B75:C75"/>
    <mergeCell ref="L67:N67"/>
    <mergeCell ref="B71:N71"/>
    <mergeCell ref="I67:K67"/>
    <mergeCell ref="B72:F72"/>
    <mergeCell ref="B67:B68"/>
    <mergeCell ref="C67:C68"/>
    <mergeCell ref="D67:D68"/>
    <mergeCell ref="E67:E68"/>
    <mergeCell ref="F67:H67"/>
    <mergeCell ref="C63:E63"/>
    <mergeCell ref="C44:E44"/>
    <mergeCell ref="B45:E45"/>
    <mergeCell ref="B47:E47"/>
    <mergeCell ref="B50:E50"/>
    <mergeCell ref="B54:E54"/>
    <mergeCell ref="B55:B56"/>
    <mergeCell ref="C55:E56"/>
    <mergeCell ref="C57:E57"/>
    <mergeCell ref="C58:E58"/>
    <mergeCell ref="B59:E59"/>
    <mergeCell ref="C61:E61"/>
    <mergeCell ref="C62:E62"/>
    <mergeCell ref="B51:C51"/>
    <mergeCell ref="B60:E60"/>
    <mergeCell ref="C43:E43"/>
    <mergeCell ref="C22:E22"/>
    <mergeCell ref="C23:E23"/>
    <mergeCell ref="C24:E24"/>
    <mergeCell ref="B26:E26"/>
    <mergeCell ref="B27:E27"/>
    <mergeCell ref="B33:E33"/>
    <mergeCell ref="B35:E35"/>
    <mergeCell ref="B39:D39"/>
    <mergeCell ref="B41:E41"/>
    <mergeCell ref="C42:E42"/>
    <mergeCell ref="B25:E25"/>
    <mergeCell ref="C21:E21"/>
    <mergeCell ref="A1:B1"/>
    <mergeCell ref="C5:E5"/>
    <mergeCell ref="B6:D6"/>
    <mergeCell ref="B9:D9"/>
    <mergeCell ref="C11:E11"/>
    <mergeCell ref="B12:D12"/>
    <mergeCell ref="C14:E14"/>
    <mergeCell ref="B15:D15"/>
    <mergeCell ref="B17:C17"/>
    <mergeCell ref="B19:E19"/>
    <mergeCell ref="C20:E20"/>
  </mergeCells>
  <pageMargins left="0.70866141732283472" right="0.70866141732283472" top="0.74803149606299213" bottom="0.74803149606299213" header="0.31496062992125984" footer="0.31496062992125984"/>
  <pageSetup paperSize="9" scale="28" fitToWidth="70" fitToHeight="2" orientation="landscape" horizontalDpi="4294967292"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45F9C-B0BF-4D87-83F0-C4BE54BA347C}">
  <sheetPr>
    <pageSetUpPr fitToPage="1"/>
  </sheetPr>
  <dimension ref="A1:N123"/>
  <sheetViews>
    <sheetView topLeftCell="A36" zoomScale="49" zoomScaleNormal="46" workbookViewId="0">
      <selection activeCell="F126" sqref="F126"/>
    </sheetView>
  </sheetViews>
  <sheetFormatPr defaultColWidth="8.6640625" defaultRowHeight="21" x14ac:dyDescent="0.3"/>
  <cols>
    <col min="1" max="1" width="8.6640625" style="1"/>
    <col min="2" max="2" width="58.33203125" style="1" customWidth="1"/>
    <col min="3" max="3" width="81" style="1" customWidth="1"/>
    <col min="4" max="4" width="73.109375" style="1" customWidth="1"/>
    <col min="5" max="5" width="27.6640625" style="1" customWidth="1"/>
    <col min="6" max="7" width="13.33203125" style="1" customWidth="1"/>
    <col min="8" max="8" width="22.6640625" style="1" customWidth="1"/>
    <col min="9" max="9" width="13.33203125" style="1" customWidth="1"/>
    <col min="10" max="10" width="12.33203125" style="1" customWidth="1"/>
    <col min="11" max="11" width="13.44140625" style="1" customWidth="1"/>
    <col min="12" max="14" width="12.88671875" style="1" bestFit="1" customWidth="1"/>
    <col min="15" max="16384" width="8.6640625" style="1"/>
  </cols>
  <sheetData>
    <row r="1" spans="1:5" ht="20.25" customHeight="1" x14ac:dyDescent="0.3">
      <c r="A1" s="246" t="s">
        <v>0</v>
      </c>
      <c r="B1" s="246"/>
      <c r="D1" s="2"/>
    </row>
    <row r="3" spans="1:5" ht="40.799999999999997" x14ac:dyDescent="0.3">
      <c r="A3" s="3" t="s">
        <v>1</v>
      </c>
      <c r="B3" s="54" t="s">
        <v>2</v>
      </c>
      <c r="C3" s="300" t="s">
        <v>390</v>
      </c>
      <c r="D3" s="300"/>
      <c r="E3" s="300"/>
    </row>
    <row r="4" spans="1:5" x14ac:dyDescent="0.3">
      <c r="D4" s="22"/>
    </row>
    <row r="5" spans="1:5" x14ac:dyDescent="0.3">
      <c r="A5" s="62">
        <v>1</v>
      </c>
      <c r="B5" s="63" t="s">
        <v>3</v>
      </c>
      <c r="C5" s="247" t="s">
        <v>799</v>
      </c>
      <c r="D5" s="248"/>
      <c r="E5" s="249"/>
    </row>
    <row r="6" spans="1:5" x14ac:dyDescent="0.3">
      <c r="A6" s="3"/>
      <c r="B6" s="250" t="s">
        <v>4</v>
      </c>
      <c r="C6" s="251"/>
      <c r="D6" s="252"/>
      <c r="E6" s="10"/>
    </row>
    <row r="7" spans="1:5" x14ac:dyDescent="0.3">
      <c r="A7" s="3"/>
      <c r="B7" s="2"/>
      <c r="D7" s="22"/>
    </row>
    <row r="8" spans="1:5" x14ac:dyDescent="0.3">
      <c r="A8" s="3">
        <v>2</v>
      </c>
      <c r="B8" s="63" t="s">
        <v>5</v>
      </c>
      <c r="C8" s="12" t="s">
        <v>391</v>
      </c>
      <c r="D8" s="22"/>
    </row>
    <row r="9" spans="1:5" x14ac:dyDescent="0.3">
      <c r="A9" s="3"/>
      <c r="B9" s="250" t="s">
        <v>4</v>
      </c>
      <c r="C9" s="251"/>
      <c r="D9" s="252"/>
    </row>
    <row r="10" spans="1:5" x14ac:dyDescent="0.3">
      <c r="A10" s="3"/>
      <c r="B10" s="2"/>
      <c r="D10" s="22"/>
    </row>
    <row r="11" spans="1:5" ht="40.950000000000003" customHeight="1" x14ac:dyDescent="0.3">
      <c r="A11" s="3">
        <v>3</v>
      </c>
      <c r="B11" s="63" t="s">
        <v>6</v>
      </c>
      <c r="C11" s="247" t="s">
        <v>90</v>
      </c>
      <c r="D11" s="248"/>
      <c r="E11" s="249"/>
    </row>
    <row r="12" spans="1:5" x14ac:dyDescent="0.3">
      <c r="A12" s="3"/>
      <c r="B12" s="250" t="s">
        <v>4</v>
      </c>
      <c r="C12" s="251"/>
      <c r="D12" s="252"/>
      <c r="E12" s="10"/>
    </row>
    <row r="13" spans="1:5" x14ac:dyDescent="0.3">
      <c r="A13" s="3"/>
      <c r="B13" s="2"/>
      <c r="D13" s="22"/>
    </row>
    <row r="14" spans="1:5" x14ac:dyDescent="0.3">
      <c r="A14" s="3">
        <v>4</v>
      </c>
      <c r="B14" s="54" t="s">
        <v>92</v>
      </c>
      <c r="C14" s="247" t="s">
        <v>90</v>
      </c>
      <c r="D14" s="248"/>
      <c r="E14" s="249"/>
    </row>
    <row r="15" spans="1:5" x14ac:dyDescent="0.3">
      <c r="A15" s="3"/>
      <c r="B15" s="250" t="s">
        <v>4</v>
      </c>
      <c r="C15" s="251"/>
      <c r="D15" s="252"/>
    </row>
    <row r="16" spans="1:5" x14ac:dyDescent="0.3">
      <c r="A16" s="3">
        <v>4</v>
      </c>
      <c r="B16" s="54" t="s">
        <v>7</v>
      </c>
      <c r="C16" s="5" t="s">
        <v>421</v>
      </c>
      <c r="D16" s="22"/>
    </row>
    <row r="17" spans="1:14" x14ac:dyDescent="0.3">
      <c r="A17" s="3"/>
      <c r="B17" s="253" t="s">
        <v>8</v>
      </c>
      <c r="C17" s="254"/>
      <c r="D17" s="22"/>
    </row>
    <row r="18" spans="1:14" x14ac:dyDescent="0.3">
      <c r="A18" s="3"/>
      <c r="D18" s="22"/>
    </row>
    <row r="19" spans="1:14" x14ac:dyDescent="0.3">
      <c r="A19" s="3">
        <v>5</v>
      </c>
      <c r="B19" s="255" t="s">
        <v>9</v>
      </c>
      <c r="C19" s="256"/>
      <c r="D19" s="256"/>
      <c r="E19" s="257"/>
      <c r="F19" s="2"/>
      <c r="G19" s="2"/>
      <c r="H19" s="2"/>
      <c r="I19" s="2"/>
      <c r="J19" s="10"/>
      <c r="K19" s="10"/>
      <c r="L19" s="10"/>
      <c r="M19" s="10"/>
      <c r="N19" s="10"/>
    </row>
    <row r="20" spans="1:14" x14ac:dyDescent="0.3">
      <c r="A20" s="3"/>
      <c r="B20" s="65" t="s">
        <v>10</v>
      </c>
      <c r="C20" s="243" t="s">
        <v>11</v>
      </c>
      <c r="D20" s="244"/>
      <c r="E20" s="245"/>
      <c r="F20" s="66"/>
      <c r="G20" s="10"/>
      <c r="H20" s="10"/>
      <c r="I20" s="10"/>
      <c r="J20" s="10"/>
      <c r="K20" s="10"/>
      <c r="L20" s="10"/>
      <c r="M20" s="10"/>
      <c r="N20" s="10"/>
    </row>
    <row r="21" spans="1:14" ht="61.2" x14ac:dyDescent="0.3">
      <c r="A21" s="3"/>
      <c r="B21" s="65" t="s">
        <v>453</v>
      </c>
      <c r="C21" s="243" t="s">
        <v>11</v>
      </c>
      <c r="D21" s="244"/>
      <c r="E21" s="245"/>
      <c r="F21" s="66"/>
      <c r="G21" s="10"/>
      <c r="I21" s="10"/>
      <c r="J21" s="10"/>
      <c r="K21" s="10"/>
      <c r="L21" s="10"/>
      <c r="M21" s="10"/>
      <c r="N21" s="10"/>
    </row>
    <row r="22" spans="1:14" x14ac:dyDescent="0.3">
      <c r="A22" s="3"/>
      <c r="B22" s="65" t="s">
        <v>243</v>
      </c>
      <c r="C22" s="243" t="s">
        <v>11</v>
      </c>
      <c r="D22" s="244"/>
      <c r="E22" s="245"/>
      <c r="F22" s="66"/>
      <c r="G22" s="10"/>
      <c r="H22" s="10"/>
      <c r="I22" s="10"/>
      <c r="J22" s="10"/>
      <c r="K22" s="10"/>
      <c r="L22" s="10"/>
      <c r="M22" s="10"/>
      <c r="N22" s="10"/>
    </row>
    <row r="23" spans="1:14" x14ac:dyDescent="0.3">
      <c r="A23" s="3"/>
      <c r="B23" s="64" t="s">
        <v>252</v>
      </c>
      <c r="C23" s="243" t="s">
        <v>11</v>
      </c>
      <c r="D23" s="244"/>
      <c r="E23" s="245"/>
      <c r="F23" s="66"/>
      <c r="G23" s="10"/>
      <c r="H23" s="10"/>
      <c r="I23" s="10"/>
      <c r="J23" s="10"/>
      <c r="K23" s="10"/>
      <c r="L23" s="10"/>
      <c r="M23" s="10"/>
      <c r="N23" s="10"/>
    </row>
    <row r="24" spans="1:14" x14ac:dyDescent="0.3">
      <c r="A24" s="3"/>
      <c r="B24" s="67" t="s">
        <v>253</v>
      </c>
      <c r="C24" s="243" t="s">
        <v>11</v>
      </c>
      <c r="D24" s="244"/>
      <c r="E24" s="245"/>
      <c r="F24" s="66"/>
      <c r="G24" s="10"/>
      <c r="H24" s="10"/>
      <c r="I24" s="10"/>
      <c r="J24" s="10"/>
      <c r="K24" s="10"/>
      <c r="L24" s="10"/>
      <c r="M24" s="10"/>
      <c r="N24" s="10"/>
    </row>
    <row r="25" spans="1:14" ht="40.5" customHeight="1" x14ac:dyDescent="0.3">
      <c r="A25" s="3"/>
      <c r="B25" s="262" t="s">
        <v>793</v>
      </c>
      <c r="C25" s="262"/>
      <c r="D25" s="262"/>
      <c r="E25" s="262"/>
      <c r="F25" s="66"/>
      <c r="G25" s="10"/>
      <c r="H25" s="10"/>
      <c r="I25" s="10"/>
      <c r="J25" s="10"/>
      <c r="K25" s="10"/>
      <c r="L25" s="10"/>
      <c r="M25" s="10"/>
      <c r="N25" s="10"/>
    </row>
    <row r="26" spans="1:14" x14ac:dyDescent="0.3">
      <c r="A26" s="3">
        <v>6</v>
      </c>
      <c r="B26" s="261" t="s">
        <v>74</v>
      </c>
      <c r="C26" s="262"/>
      <c r="D26" s="262"/>
      <c r="E26" s="263"/>
      <c r="F26" s="2"/>
      <c r="G26" s="2"/>
      <c r="H26" s="10"/>
      <c r="I26" s="2"/>
      <c r="J26" s="2"/>
    </row>
    <row r="27" spans="1:14" x14ac:dyDescent="0.3">
      <c r="A27" s="3"/>
      <c r="B27" s="264" t="s">
        <v>17</v>
      </c>
      <c r="C27" s="265"/>
      <c r="D27" s="265"/>
      <c r="E27" s="266"/>
      <c r="F27" s="66"/>
    </row>
    <row r="28" spans="1:14" x14ac:dyDescent="0.3">
      <c r="A28" s="3"/>
      <c r="B28" s="67" t="s">
        <v>18</v>
      </c>
      <c r="C28" s="25" t="s">
        <v>244</v>
      </c>
      <c r="D28" s="25" t="s">
        <v>245</v>
      </c>
      <c r="E28" s="25" t="s">
        <v>246</v>
      </c>
      <c r="F28" s="66"/>
    </row>
    <row r="29" spans="1:14" ht="20.7" customHeight="1" x14ac:dyDescent="0.3">
      <c r="A29" s="3"/>
      <c r="B29" s="68" t="s">
        <v>21</v>
      </c>
      <c r="C29" s="27">
        <v>4446.42</v>
      </c>
      <c r="D29" s="27">
        <v>1388.84</v>
      </c>
      <c r="E29" s="5">
        <v>4558.1099999999997</v>
      </c>
      <c r="F29" s="66"/>
    </row>
    <row r="30" spans="1:14" x14ac:dyDescent="0.3">
      <c r="A30" s="3"/>
      <c r="B30" s="68" t="s">
        <v>23</v>
      </c>
      <c r="C30" s="27">
        <v>207.17</v>
      </c>
      <c r="D30" s="27">
        <v>-185.19</v>
      </c>
      <c r="E30" s="5">
        <v>280.83999999999997</v>
      </c>
      <c r="F30" s="66"/>
    </row>
    <row r="31" spans="1:14" x14ac:dyDescent="0.3">
      <c r="A31" s="3"/>
      <c r="B31" s="68" t="s">
        <v>24</v>
      </c>
      <c r="C31" s="27">
        <v>1134.1099999999999</v>
      </c>
      <c r="D31" s="27">
        <v>1134.1099999999999</v>
      </c>
      <c r="E31" s="5">
        <v>2250.5100000000002</v>
      </c>
      <c r="F31" s="66"/>
      <c r="H31" s="194"/>
    </row>
    <row r="32" spans="1:14" x14ac:dyDescent="0.3">
      <c r="A32" s="3"/>
      <c r="B32" s="68" t="s">
        <v>25</v>
      </c>
      <c r="C32" s="27">
        <v>1362.63</v>
      </c>
      <c r="D32" s="27">
        <v>1137.23</v>
      </c>
      <c r="E32" s="5">
        <v>3527.67</v>
      </c>
      <c r="F32" s="66"/>
    </row>
    <row r="33" spans="1:10" x14ac:dyDescent="0.3">
      <c r="A33" s="3"/>
      <c r="B33" s="253" t="s">
        <v>800</v>
      </c>
      <c r="C33" s="270"/>
      <c r="D33" s="270"/>
      <c r="E33" s="254"/>
      <c r="F33" s="66"/>
    </row>
    <row r="34" spans="1:10" x14ac:dyDescent="0.3">
      <c r="A34" s="3"/>
      <c r="B34" s="10"/>
      <c r="C34" s="66"/>
      <c r="D34" s="66"/>
      <c r="E34" s="66"/>
      <c r="F34" s="66"/>
    </row>
    <row r="35" spans="1:10" ht="41.7" customHeight="1" x14ac:dyDescent="0.3">
      <c r="A35" s="3">
        <v>7</v>
      </c>
      <c r="B35" s="261" t="s">
        <v>26</v>
      </c>
      <c r="C35" s="262"/>
      <c r="D35" s="262"/>
      <c r="E35" s="263"/>
      <c r="F35" s="2"/>
      <c r="G35" s="2"/>
      <c r="H35" s="2"/>
      <c r="I35" s="2"/>
      <c r="J35" s="2"/>
    </row>
    <row r="36" spans="1:10" x14ac:dyDescent="0.3">
      <c r="A36" s="3"/>
      <c r="B36" s="67" t="s">
        <v>247</v>
      </c>
      <c r="C36" s="27" t="s">
        <v>455</v>
      </c>
      <c r="D36" s="5"/>
      <c r="E36" s="5"/>
      <c r="F36" s="10"/>
    </row>
    <row r="37" spans="1:10" x14ac:dyDescent="0.3">
      <c r="A37" s="3"/>
      <c r="B37" s="67" t="s">
        <v>28</v>
      </c>
      <c r="C37" s="27" t="s">
        <v>93</v>
      </c>
      <c r="D37" s="10"/>
      <c r="E37" s="10"/>
      <c r="F37" s="10"/>
    </row>
    <row r="38" spans="1:10" x14ac:dyDescent="0.3">
      <c r="A38" s="3"/>
      <c r="B38" s="67" t="s">
        <v>29</v>
      </c>
      <c r="C38" s="27" t="s">
        <v>93</v>
      </c>
      <c r="D38" s="10"/>
      <c r="E38" s="10"/>
      <c r="F38" s="10"/>
    </row>
    <row r="39" spans="1:10" ht="42" customHeight="1" x14ac:dyDescent="0.3">
      <c r="A39" s="3"/>
      <c r="B39" s="271" t="s">
        <v>392</v>
      </c>
      <c r="C39" s="271"/>
      <c r="D39" s="271"/>
      <c r="E39" s="10"/>
      <c r="F39" s="10"/>
    </row>
    <row r="40" spans="1:10" x14ac:dyDescent="0.3">
      <c r="A40" s="3"/>
      <c r="B40" s="66"/>
      <c r="C40" s="10"/>
      <c r="D40" s="10"/>
      <c r="E40" s="10"/>
      <c r="F40" s="10"/>
    </row>
    <row r="41" spans="1:10" x14ac:dyDescent="0.3">
      <c r="A41" s="3">
        <v>8</v>
      </c>
      <c r="B41" s="261" t="s">
        <v>30</v>
      </c>
      <c r="C41" s="262"/>
      <c r="D41" s="262"/>
      <c r="E41" s="263"/>
      <c r="F41" s="2"/>
      <c r="G41" s="2"/>
      <c r="H41" s="2"/>
      <c r="I41" s="2"/>
      <c r="J41" s="2"/>
    </row>
    <row r="42" spans="1:10" x14ac:dyDescent="0.3">
      <c r="A42" s="3"/>
      <c r="B42" s="67" t="s">
        <v>31</v>
      </c>
      <c r="C42" s="258" t="s">
        <v>85</v>
      </c>
      <c r="D42" s="259"/>
      <c r="E42" s="260"/>
      <c r="F42" s="10"/>
    </row>
    <row r="43" spans="1:10" ht="66" customHeight="1" x14ac:dyDescent="0.3">
      <c r="A43" s="3"/>
      <c r="B43" s="67" t="s">
        <v>28</v>
      </c>
      <c r="C43" s="258" t="s">
        <v>711</v>
      </c>
      <c r="D43" s="259"/>
      <c r="E43" s="260"/>
      <c r="F43" s="10"/>
    </row>
    <row r="44" spans="1:10" ht="205.2" customHeight="1" x14ac:dyDescent="0.3">
      <c r="A44" s="3"/>
      <c r="B44" s="67" t="s">
        <v>29</v>
      </c>
      <c r="C44" s="258" t="s">
        <v>914</v>
      </c>
      <c r="D44" s="259"/>
      <c r="E44" s="260"/>
      <c r="F44" s="10"/>
    </row>
    <row r="45" spans="1:10" x14ac:dyDescent="0.3">
      <c r="A45" s="3"/>
      <c r="B45" s="253" t="s">
        <v>802</v>
      </c>
      <c r="C45" s="270"/>
      <c r="D45" s="270"/>
      <c r="E45" s="254"/>
      <c r="F45" s="10"/>
    </row>
    <row r="46" spans="1:10" x14ac:dyDescent="0.3">
      <c r="A46" s="3"/>
      <c r="D46" s="22"/>
      <c r="E46" s="10"/>
    </row>
    <row r="47" spans="1:10" ht="83.4" customHeight="1" x14ac:dyDescent="0.3">
      <c r="A47" s="191">
        <v>9</v>
      </c>
      <c r="B47" s="262" t="s">
        <v>32</v>
      </c>
      <c r="C47" s="262"/>
      <c r="D47" s="262"/>
      <c r="E47" s="263"/>
      <c r="F47" s="2"/>
      <c r="G47" s="2"/>
      <c r="H47" s="2"/>
      <c r="I47" s="2"/>
    </row>
    <row r="48" spans="1:10" ht="81.599999999999994" x14ac:dyDescent="0.3">
      <c r="A48" s="191"/>
      <c r="B48" s="24" t="s">
        <v>33</v>
      </c>
      <c r="C48" s="25" t="s">
        <v>34</v>
      </c>
      <c r="D48" s="25" t="s">
        <v>524</v>
      </c>
      <c r="E48" s="25" t="s">
        <v>35</v>
      </c>
    </row>
    <row r="49" spans="1:14" ht="166.2" customHeight="1" x14ac:dyDescent="0.3">
      <c r="A49" s="191"/>
      <c r="B49" s="217" t="s">
        <v>379</v>
      </c>
      <c r="C49" s="190" t="s">
        <v>606</v>
      </c>
      <c r="D49" s="190" t="s">
        <v>881</v>
      </c>
      <c r="E49" s="190" t="s">
        <v>121</v>
      </c>
    </row>
    <row r="50" spans="1:14" x14ac:dyDescent="0.3">
      <c r="A50" s="191"/>
      <c r="B50" s="242" t="s">
        <v>753</v>
      </c>
      <c r="C50" s="242"/>
      <c r="D50" s="242"/>
      <c r="E50" s="242"/>
    </row>
    <row r="51" spans="1:14" x14ac:dyDescent="0.3">
      <c r="A51" s="191"/>
      <c r="B51" s="210" t="s">
        <v>882</v>
      </c>
      <c r="C51" s="87"/>
      <c r="D51" s="87"/>
      <c r="E51" s="87"/>
    </row>
    <row r="52" spans="1:14" ht="28.2" customHeight="1" x14ac:dyDescent="0.3">
      <c r="A52" s="191"/>
      <c r="B52" s="451" t="s">
        <v>991</v>
      </c>
      <c r="C52" s="452"/>
      <c r="D52" s="452"/>
      <c r="E52" s="22"/>
      <c r="F52" s="66"/>
      <c r="G52" s="66"/>
      <c r="H52" s="66"/>
      <c r="I52" s="66"/>
    </row>
    <row r="53" spans="1:14" ht="28.2" customHeight="1" x14ac:dyDescent="0.3">
      <c r="A53" s="191"/>
      <c r="B53" s="453" t="s">
        <v>992</v>
      </c>
      <c r="C53" s="453"/>
      <c r="D53" s="453"/>
      <c r="E53" s="453"/>
      <c r="F53" s="66"/>
      <c r="G53" s="66"/>
      <c r="H53" s="66"/>
      <c r="I53" s="66"/>
    </row>
    <row r="54" spans="1:14" ht="43.2" customHeight="1" x14ac:dyDescent="0.3">
      <c r="A54" s="191">
        <v>10</v>
      </c>
      <c r="B54" s="262" t="s">
        <v>32</v>
      </c>
      <c r="C54" s="262"/>
      <c r="D54" s="262"/>
      <c r="E54" s="263"/>
      <c r="F54" s="66"/>
      <c r="G54" s="66"/>
      <c r="H54" s="66"/>
    </row>
    <row r="55" spans="1:14" x14ac:dyDescent="0.3">
      <c r="A55" s="191"/>
      <c r="B55" s="275" t="s">
        <v>36</v>
      </c>
      <c r="C55" s="277" t="s">
        <v>509</v>
      </c>
      <c r="D55" s="278"/>
      <c r="E55" s="279"/>
      <c r="K55" s="2"/>
    </row>
    <row r="56" spans="1:14" ht="69" customHeight="1" x14ac:dyDescent="0.3">
      <c r="A56" s="191"/>
      <c r="B56" s="276"/>
      <c r="C56" s="280"/>
      <c r="D56" s="281"/>
      <c r="E56" s="282"/>
      <c r="K56" s="2"/>
    </row>
    <row r="57" spans="1:14" ht="66" customHeight="1" x14ac:dyDescent="0.3">
      <c r="A57" s="191"/>
      <c r="B57" s="29" t="s">
        <v>37</v>
      </c>
      <c r="C57" s="283" t="s">
        <v>993</v>
      </c>
      <c r="D57" s="284"/>
      <c r="E57" s="285"/>
    </row>
    <row r="58" spans="1:14" x14ac:dyDescent="0.3">
      <c r="A58" s="191"/>
      <c r="B58" s="29" t="s">
        <v>38</v>
      </c>
      <c r="C58" s="391"/>
      <c r="D58" s="392"/>
      <c r="E58" s="393"/>
      <c r="K58" s="30"/>
    </row>
    <row r="59" spans="1:14" s="32" customFormat="1" hidden="1" x14ac:dyDescent="0.4">
      <c r="A59" s="111" t="s">
        <v>39</v>
      </c>
      <c r="B59" s="290" t="s">
        <v>607</v>
      </c>
      <c r="C59" s="290"/>
      <c r="D59" s="290"/>
      <c r="E59" s="291"/>
    </row>
    <row r="60" spans="1:14" s="32" customFormat="1" x14ac:dyDescent="0.4">
      <c r="A60" s="111"/>
      <c r="B60" s="289" t="s">
        <v>992</v>
      </c>
      <c r="C60" s="290"/>
      <c r="D60" s="290"/>
      <c r="E60" s="290"/>
    </row>
    <row r="61" spans="1:14" ht="25.2" customHeight="1" x14ac:dyDescent="0.3">
      <c r="A61" s="191"/>
      <c r="B61" s="253" t="s">
        <v>882</v>
      </c>
      <c r="C61" s="270"/>
      <c r="D61" s="270"/>
      <c r="E61" s="270"/>
      <c r="F61" s="73"/>
    </row>
    <row r="62" spans="1:14" x14ac:dyDescent="0.3">
      <c r="A62" s="3">
        <v>11</v>
      </c>
      <c r="B62" s="54" t="s">
        <v>41</v>
      </c>
      <c r="C62" s="270" t="s">
        <v>121</v>
      </c>
      <c r="D62" s="270"/>
      <c r="E62" s="270"/>
      <c r="F62" s="2"/>
      <c r="G62" s="2"/>
      <c r="H62" s="74"/>
      <c r="I62" s="2"/>
      <c r="J62" s="2"/>
    </row>
    <row r="63" spans="1:14" ht="20.7" customHeight="1" x14ac:dyDescent="0.3">
      <c r="A63" s="3"/>
      <c r="B63" s="66"/>
      <c r="C63" s="270"/>
      <c r="D63" s="270"/>
      <c r="E63" s="270"/>
      <c r="F63" s="66"/>
      <c r="G63" s="66"/>
      <c r="H63" s="75"/>
      <c r="I63" s="75"/>
      <c r="J63" s="66"/>
    </row>
    <row r="64" spans="1:14" s="42" customFormat="1" x14ac:dyDescent="0.3">
      <c r="A64" s="76">
        <v>12</v>
      </c>
      <c r="B64" s="77" t="s">
        <v>42</v>
      </c>
      <c r="C64" s="272"/>
      <c r="D64" s="273"/>
      <c r="E64" s="274"/>
      <c r="F64" s="78"/>
      <c r="G64" s="79"/>
      <c r="H64" s="79"/>
      <c r="I64" s="79"/>
      <c r="J64" s="79"/>
      <c r="K64" s="79"/>
      <c r="L64" s="79"/>
      <c r="M64" s="79"/>
      <c r="N64" s="79"/>
    </row>
    <row r="65" spans="1:14" x14ac:dyDescent="0.3">
      <c r="A65" s="3"/>
      <c r="B65" s="2"/>
      <c r="C65" s="2"/>
      <c r="D65" s="2"/>
      <c r="E65" s="74"/>
      <c r="F65" s="74"/>
      <c r="G65" s="74"/>
      <c r="H65" s="2"/>
      <c r="I65" s="2"/>
      <c r="J65" s="2"/>
      <c r="K65" s="2"/>
      <c r="L65" s="2"/>
      <c r="M65" s="2"/>
      <c r="N65" s="2"/>
    </row>
    <row r="66" spans="1:14" x14ac:dyDescent="0.3">
      <c r="A66" s="3"/>
      <c r="B66" s="67" t="s">
        <v>43</v>
      </c>
      <c r="C66" s="68" t="s">
        <v>393</v>
      </c>
      <c r="D66" s="66"/>
      <c r="E66" s="66"/>
      <c r="F66" s="75"/>
      <c r="G66" s="75"/>
      <c r="H66" s="66"/>
      <c r="I66" s="66"/>
      <c r="J66" s="66"/>
      <c r="K66" s="66"/>
      <c r="L66" s="66"/>
      <c r="M66" s="66"/>
      <c r="N66" s="66"/>
    </row>
    <row r="67" spans="1:14" x14ac:dyDescent="0.3">
      <c r="A67" s="3"/>
      <c r="B67" s="66"/>
      <c r="C67" s="66"/>
      <c r="D67" s="66"/>
      <c r="E67" s="66"/>
      <c r="F67" s="66"/>
      <c r="G67" s="66"/>
      <c r="H67" s="66"/>
      <c r="I67" s="66"/>
      <c r="J67" s="66"/>
      <c r="K67" s="66"/>
      <c r="L67" s="66"/>
      <c r="M67" s="66"/>
      <c r="N67" s="66"/>
    </row>
    <row r="68" spans="1:14" ht="87.6" customHeight="1" x14ac:dyDescent="0.3">
      <c r="A68" s="3"/>
      <c r="B68" s="295" t="s">
        <v>44</v>
      </c>
      <c r="C68" s="295" t="s">
        <v>394</v>
      </c>
      <c r="D68" s="295" t="s">
        <v>68</v>
      </c>
      <c r="E68" s="297" t="s">
        <v>45</v>
      </c>
      <c r="F68" s="292" t="s">
        <v>254</v>
      </c>
      <c r="G68" s="293"/>
      <c r="H68" s="294"/>
      <c r="I68" s="292" t="s">
        <v>255</v>
      </c>
      <c r="J68" s="293"/>
      <c r="K68" s="294"/>
      <c r="L68" s="292" t="s">
        <v>197</v>
      </c>
      <c r="M68" s="293"/>
      <c r="N68" s="294"/>
    </row>
    <row r="69" spans="1:14" ht="61.2" x14ac:dyDescent="0.3">
      <c r="A69" s="3"/>
      <c r="B69" s="296"/>
      <c r="C69" s="296"/>
      <c r="D69" s="296"/>
      <c r="E69" s="298"/>
      <c r="F69" s="67" t="s">
        <v>46</v>
      </c>
      <c r="G69" s="67" t="s">
        <v>47</v>
      </c>
      <c r="H69" s="67" t="s">
        <v>48</v>
      </c>
      <c r="I69" s="67" t="s">
        <v>49</v>
      </c>
      <c r="J69" s="67" t="s">
        <v>47</v>
      </c>
      <c r="K69" s="67" t="s">
        <v>48</v>
      </c>
      <c r="L69" s="67" t="s">
        <v>49</v>
      </c>
      <c r="M69" s="67" t="s">
        <v>47</v>
      </c>
      <c r="N69" s="67" t="s">
        <v>48</v>
      </c>
    </row>
    <row r="70" spans="1:14" ht="105" customHeight="1" x14ac:dyDescent="0.3">
      <c r="A70" s="3"/>
      <c r="B70" s="67" t="s">
        <v>803</v>
      </c>
      <c r="C70" s="82">
        <v>54.25</v>
      </c>
      <c r="D70" s="82">
        <v>35.299999999999997</v>
      </c>
      <c r="E70" s="82">
        <v>36.549999999999997</v>
      </c>
      <c r="F70" s="121">
        <v>30.5</v>
      </c>
      <c r="G70" s="121">
        <v>46.6</v>
      </c>
      <c r="H70" s="121">
        <v>29.25</v>
      </c>
      <c r="I70" s="121">
        <v>23.75</v>
      </c>
      <c r="J70" s="121">
        <v>46.4</v>
      </c>
      <c r="K70" s="121">
        <v>14.25</v>
      </c>
      <c r="L70" s="121">
        <v>160.19999999999999</v>
      </c>
      <c r="M70" s="121">
        <v>356.75</v>
      </c>
      <c r="N70" s="121">
        <v>24.2</v>
      </c>
    </row>
    <row r="71" spans="1:14" ht="40.799999999999997" x14ac:dyDescent="0.3">
      <c r="A71" s="3"/>
      <c r="B71" s="69" t="s">
        <v>67</v>
      </c>
      <c r="C71" s="82">
        <v>22040.7</v>
      </c>
      <c r="D71" s="82">
        <v>22055.7</v>
      </c>
      <c r="E71" s="82">
        <v>22200.55</v>
      </c>
      <c r="F71" s="121">
        <v>22326.9</v>
      </c>
      <c r="G71" s="121">
        <v>22526.6</v>
      </c>
      <c r="H71" s="121">
        <v>17312.75</v>
      </c>
      <c r="I71" s="121">
        <v>23519.35</v>
      </c>
      <c r="J71" s="121">
        <v>26277.35</v>
      </c>
      <c r="K71" s="121">
        <v>21281.45</v>
      </c>
      <c r="L71" s="121">
        <v>22331.4</v>
      </c>
      <c r="M71" s="121">
        <v>26373.200000000001</v>
      </c>
      <c r="N71" s="121">
        <v>21743.65</v>
      </c>
    </row>
    <row r="72" spans="1:14" ht="20.25" customHeight="1" x14ac:dyDescent="0.3">
      <c r="A72" s="3"/>
      <c r="B72" s="253" t="s">
        <v>99</v>
      </c>
      <c r="C72" s="270"/>
      <c r="D72" s="270"/>
      <c r="E72" s="270"/>
      <c r="F72" s="270"/>
      <c r="G72" s="270"/>
      <c r="H72" s="270"/>
      <c r="I72" s="270"/>
      <c r="J72" s="270"/>
      <c r="K72" s="270"/>
      <c r="L72" s="270"/>
      <c r="M72" s="270"/>
      <c r="N72" s="254"/>
    </row>
    <row r="73" spans="1:14" ht="20.25" customHeight="1" x14ac:dyDescent="0.3">
      <c r="A73" s="3"/>
      <c r="B73" s="253" t="s">
        <v>801</v>
      </c>
      <c r="C73" s="270"/>
      <c r="D73" s="270"/>
      <c r="E73" s="270"/>
      <c r="F73" s="254"/>
      <c r="G73" s="83"/>
      <c r="H73" s="83"/>
      <c r="I73" s="83"/>
      <c r="J73" s="83"/>
      <c r="K73" s="83"/>
      <c r="L73" s="83"/>
      <c r="M73" s="83"/>
      <c r="N73" s="83"/>
    </row>
    <row r="74" spans="1:14" ht="43.8" customHeight="1" x14ac:dyDescent="0.3">
      <c r="A74" s="3"/>
      <c r="B74" s="253" t="s">
        <v>950</v>
      </c>
      <c r="C74" s="270"/>
      <c r="D74" s="270"/>
      <c r="E74" s="270"/>
      <c r="F74" s="254"/>
      <c r="G74" s="83"/>
      <c r="H74" s="83"/>
      <c r="I74" s="83"/>
      <c r="J74" s="83"/>
      <c r="K74" s="83"/>
      <c r="L74" s="83"/>
      <c r="M74" s="83"/>
      <c r="N74" s="83"/>
    </row>
    <row r="75" spans="1:14" x14ac:dyDescent="0.3">
      <c r="A75" s="3"/>
      <c r="B75" s="253" t="s">
        <v>71</v>
      </c>
      <c r="C75" s="270"/>
      <c r="D75" s="270"/>
      <c r="E75" s="270"/>
      <c r="F75" s="254"/>
      <c r="G75" s="83"/>
      <c r="H75" s="83"/>
      <c r="I75" s="83"/>
      <c r="J75" s="83"/>
      <c r="K75" s="83"/>
      <c r="L75" s="83"/>
      <c r="M75" s="83"/>
      <c r="N75" s="83"/>
    </row>
    <row r="76" spans="1:14" x14ac:dyDescent="0.3">
      <c r="A76" s="3"/>
      <c r="B76" s="84"/>
      <c r="C76" s="84"/>
      <c r="D76" s="84"/>
      <c r="E76" s="84"/>
      <c r="F76" s="84"/>
      <c r="G76" s="10"/>
      <c r="H76" s="10"/>
      <c r="I76" s="10"/>
      <c r="J76" s="10"/>
      <c r="K76" s="10"/>
      <c r="L76" s="10"/>
      <c r="M76" s="10"/>
      <c r="N76" s="10"/>
    </row>
    <row r="77" spans="1:14" ht="39" customHeight="1" x14ac:dyDescent="0.3">
      <c r="A77" s="3">
        <v>13</v>
      </c>
      <c r="B77" s="261" t="s">
        <v>51</v>
      </c>
      <c r="C77" s="262"/>
      <c r="D77" s="262"/>
      <c r="E77" s="262"/>
      <c r="F77" s="262"/>
      <c r="G77" s="263"/>
      <c r="H77" s="2"/>
      <c r="I77" s="2"/>
      <c r="J77" s="2"/>
      <c r="K77" s="2"/>
      <c r="L77" s="2"/>
      <c r="M77" s="2"/>
      <c r="N77" s="2"/>
    </row>
    <row r="78" spans="1:14" x14ac:dyDescent="0.3">
      <c r="A78" s="3"/>
      <c r="C78" s="66"/>
      <c r="D78" s="66"/>
      <c r="E78" s="66"/>
      <c r="F78" s="66"/>
      <c r="G78" s="66"/>
      <c r="H78" s="66"/>
      <c r="I78" s="66"/>
      <c r="J78" s="66"/>
      <c r="K78" s="66"/>
      <c r="L78" s="66"/>
      <c r="M78" s="66"/>
      <c r="N78" s="66"/>
    </row>
    <row r="79" spans="1:14" ht="61.2" x14ac:dyDescent="0.3">
      <c r="A79" s="3"/>
      <c r="B79" s="25" t="s">
        <v>52</v>
      </c>
      <c r="C79" s="25" t="s">
        <v>53</v>
      </c>
      <c r="D79" s="25" t="s">
        <v>953</v>
      </c>
      <c r="E79" s="25" t="s">
        <v>54</v>
      </c>
      <c r="F79" s="25" t="s">
        <v>55</v>
      </c>
      <c r="G79" s="25" t="s">
        <v>56</v>
      </c>
      <c r="H79" s="10"/>
      <c r="I79" s="10"/>
      <c r="J79" s="10"/>
      <c r="K79" s="10"/>
      <c r="L79" s="10"/>
      <c r="M79" s="10"/>
      <c r="N79" s="10"/>
    </row>
    <row r="80" spans="1:14" ht="21" customHeight="1" x14ac:dyDescent="0.3">
      <c r="A80" s="3"/>
      <c r="B80" s="297" t="s">
        <v>72</v>
      </c>
      <c r="C80" s="54" t="s">
        <v>399</v>
      </c>
      <c r="D80" s="134">
        <v>1.1499999999999999</v>
      </c>
      <c r="E80" s="134">
        <v>2.06</v>
      </c>
      <c r="F80" s="88">
        <v>-1.63</v>
      </c>
      <c r="G80" s="88">
        <v>1.36</v>
      </c>
    </row>
    <row r="81" spans="1:7" ht="21" customHeight="1" x14ac:dyDescent="0.3">
      <c r="A81" s="3"/>
      <c r="B81" s="309"/>
      <c r="C81" s="54" t="s">
        <v>237</v>
      </c>
      <c r="D81" s="135"/>
      <c r="E81" s="135"/>
      <c r="F81" s="88"/>
      <c r="G81" s="88"/>
    </row>
    <row r="82" spans="1:7" ht="21" customHeight="1" x14ac:dyDescent="0.3">
      <c r="A82" s="3"/>
      <c r="B82" s="309"/>
      <c r="C82" s="5" t="s">
        <v>459</v>
      </c>
      <c r="D82" s="135">
        <v>1.18</v>
      </c>
      <c r="E82" s="135">
        <v>3.43</v>
      </c>
      <c r="F82" s="88">
        <v>5.65</v>
      </c>
      <c r="G82" s="88">
        <v>4.6500000000000004</v>
      </c>
    </row>
    <row r="83" spans="1:7" ht="21" customHeight="1" x14ac:dyDescent="0.3">
      <c r="A83" s="3"/>
      <c r="B83" s="309"/>
      <c r="C83" s="5" t="s">
        <v>457</v>
      </c>
      <c r="D83" s="135">
        <v>0.04</v>
      </c>
      <c r="E83" s="135">
        <v>4.45</v>
      </c>
      <c r="F83" s="88">
        <v>9.9499999999999993</v>
      </c>
      <c r="G83" s="90">
        <v>1.4</v>
      </c>
    </row>
    <row r="84" spans="1:7" ht="21" customHeight="1" x14ac:dyDescent="0.3">
      <c r="A84" s="3"/>
      <c r="B84" s="309"/>
      <c r="C84" s="5" t="s">
        <v>458</v>
      </c>
      <c r="D84" s="135"/>
      <c r="E84" s="135">
        <v>2.54</v>
      </c>
      <c r="F84" s="88">
        <v>9.9499999999999993</v>
      </c>
      <c r="G84" s="90">
        <v>1.4</v>
      </c>
    </row>
    <row r="85" spans="1:7" ht="21" customHeight="1" x14ac:dyDescent="0.3">
      <c r="A85" s="3"/>
      <c r="B85" s="309"/>
      <c r="C85" s="5" t="s">
        <v>397</v>
      </c>
      <c r="D85" s="135">
        <v>0.39</v>
      </c>
      <c r="E85" s="153">
        <v>3.3</v>
      </c>
      <c r="F85" s="88">
        <v>6.15</v>
      </c>
      <c r="G85" s="88">
        <v>4.76</v>
      </c>
    </row>
    <row r="86" spans="1:7" ht="21" customHeight="1" x14ac:dyDescent="0.3">
      <c r="A86" s="3"/>
      <c r="B86" s="309"/>
      <c r="C86" s="5" t="s">
        <v>460</v>
      </c>
      <c r="D86" s="135">
        <v>13.33</v>
      </c>
      <c r="E86" s="135">
        <v>0.67</v>
      </c>
      <c r="F86" s="88">
        <v>0.49</v>
      </c>
      <c r="G86" s="88">
        <v>-0.34</v>
      </c>
    </row>
    <row r="87" spans="1:7" ht="21" customHeight="1" x14ac:dyDescent="0.3">
      <c r="A87" s="3"/>
      <c r="B87" s="309"/>
      <c r="C87" s="5" t="s">
        <v>461</v>
      </c>
      <c r="D87" s="135">
        <v>13.08</v>
      </c>
      <c r="E87" s="135">
        <v>0.64</v>
      </c>
      <c r="F87" s="88">
        <v>0.48</v>
      </c>
      <c r="G87" s="88">
        <v>-0.34</v>
      </c>
    </row>
    <row r="88" spans="1:7" ht="21" customHeight="1" x14ac:dyDescent="0.3">
      <c r="A88" s="3"/>
      <c r="B88" s="298"/>
      <c r="C88" s="54" t="s">
        <v>295</v>
      </c>
      <c r="D88" s="140">
        <f>AVERAGE(D82:D87)</f>
        <v>5.6040000000000001</v>
      </c>
      <c r="E88" s="140">
        <f>AVERAGE(E82:E87)</f>
        <v>2.5050000000000003</v>
      </c>
      <c r="F88" s="140">
        <f>AVERAGE(F82:F87)</f>
        <v>5.4449999999999994</v>
      </c>
      <c r="G88" s="157">
        <f>AVERAGE(G82:G87)</f>
        <v>1.9216666666666669</v>
      </c>
    </row>
    <row r="89" spans="1:7" x14ac:dyDescent="0.3">
      <c r="A89" s="3"/>
      <c r="B89" s="297" t="s">
        <v>59</v>
      </c>
      <c r="C89" s="54" t="s">
        <v>399</v>
      </c>
      <c r="D89" s="135">
        <v>47.03</v>
      </c>
      <c r="E89" s="153">
        <f>F70/E80</f>
        <v>14.805825242718447</v>
      </c>
      <c r="F89" s="88">
        <f>I70/F80</f>
        <v>-14.570552147239265</v>
      </c>
      <c r="G89" s="90">
        <f>L70/G80</f>
        <v>117.79411764705881</v>
      </c>
    </row>
    <row r="90" spans="1:7" x14ac:dyDescent="0.3">
      <c r="A90" s="3"/>
      <c r="B90" s="309"/>
      <c r="C90" s="54" t="s">
        <v>237</v>
      </c>
      <c r="D90" s="135"/>
      <c r="E90" s="135"/>
      <c r="F90" s="88"/>
      <c r="G90" s="88"/>
    </row>
    <row r="91" spans="1:7" x14ac:dyDescent="0.3">
      <c r="A91" s="3"/>
      <c r="B91" s="309"/>
      <c r="C91" s="5" t="s">
        <v>395</v>
      </c>
      <c r="D91" s="135">
        <v>43.93</v>
      </c>
      <c r="E91" s="153">
        <f>53.96/E82</f>
        <v>15.731778425655977</v>
      </c>
      <c r="F91" s="88">
        <f>79.65/F82</f>
        <v>14.097345132743364</v>
      </c>
      <c r="G91" s="90">
        <f>54.25/G82</f>
        <v>11.666666666666666</v>
      </c>
    </row>
    <row r="92" spans="1:7" x14ac:dyDescent="0.3">
      <c r="A92" s="3"/>
      <c r="B92" s="309"/>
      <c r="C92" s="5" t="s">
        <v>396</v>
      </c>
      <c r="D92" s="135">
        <v>2587.5</v>
      </c>
      <c r="E92" s="153">
        <f>139/E83</f>
        <v>31.235955056179773</v>
      </c>
      <c r="F92" s="88">
        <f>454.8/F83</f>
        <v>45.708542713567844</v>
      </c>
      <c r="G92" s="90">
        <f>39.01/G83</f>
        <v>27.864285714285714</v>
      </c>
    </row>
    <row r="93" spans="1:7" x14ac:dyDescent="0.3">
      <c r="A93" s="3"/>
      <c r="B93" s="309"/>
      <c r="C93" s="5" t="s">
        <v>397</v>
      </c>
      <c r="D93" s="135">
        <v>228.59</v>
      </c>
      <c r="E93" s="153">
        <f>77.25/E85</f>
        <v>23.40909090909091</v>
      </c>
      <c r="F93" s="88">
        <f>57.5/F85</f>
        <v>9.3495934959349594</v>
      </c>
      <c r="G93" s="90">
        <f>33.43/G85</f>
        <v>7.0231092436974789</v>
      </c>
    </row>
    <row r="94" spans="1:7" x14ac:dyDescent="0.3">
      <c r="A94" s="3"/>
      <c r="B94" s="309"/>
      <c r="C94" s="5" t="s">
        <v>398</v>
      </c>
      <c r="D94" s="135">
        <v>4.91</v>
      </c>
      <c r="E94" s="153">
        <f>29.05/E86</f>
        <v>43.35820895522388</v>
      </c>
      <c r="F94" s="88">
        <f>57.4/F86</f>
        <v>117.14285714285714</v>
      </c>
      <c r="G94" s="90">
        <f>27.78/G86</f>
        <v>-81.705882352941174</v>
      </c>
    </row>
    <row r="95" spans="1:7" x14ac:dyDescent="0.3">
      <c r="A95" s="3"/>
      <c r="B95" s="298"/>
      <c r="C95" s="54" t="s">
        <v>295</v>
      </c>
      <c r="D95" s="140">
        <f>AVERAGE(D91:D94)</f>
        <v>716.23249999999996</v>
      </c>
      <c r="E95" s="140">
        <f>AVERAGE(E91:E94)</f>
        <v>28.433758336537636</v>
      </c>
      <c r="F95" s="140">
        <f>AVERAGE(F91:F94)</f>
        <v>46.574584621275825</v>
      </c>
      <c r="G95" s="157">
        <f>AVERAGE(G91:G94)</f>
        <v>-8.7879551820728299</v>
      </c>
    </row>
    <row r="96" spans="1:7" x14ac:dyDescent="0.3">
      <c r="A96" s="3"/>
      <c r="B96" s="297" t="s">
        <v>60</v>
      </c>
      <c r="C96" s="54" t="s">
        <v>399</v>
      </c>
      <c r="D96" s="142">
        <v>7.3899999999999993E-2</v>
      </c>
      <c r="E96" s="142">
        <v>8.3000000000000004E-2</v>
      </c>
      <c r="F96" s="110">
        <v>-8.1500000000000003E-2</v>
      </c>
      <c r="G96" s="110">
        <v>4.8599999999999997E-2</v>
      </c>
    </row>
    <row r="97" spans="1:7" x14ac:dyDescent="0.3">
      <c r="A97" s="3"/>
      <c r="B97" s="309"/>
      <c r="C97" s="54" t="s">
        <v>237</v>
      </c>
      <c r="D97" s="5"/>
      <c r="E97" s="5"/>
      <c r="F97" s="88"/>
      <c r="G97" s="88"/>
    </row>
    <row r="98" spans="1:7" x14ac:dyDescent="0.3">
      <c r="A98" s="3"/>
      <c r="B98" s="309"/>
      <c r="C98" s="5" t="s">
        <v>395</v>
      </c>
      <c r="D98" s="142">
        <v>7.7899999999999997E-2</v>
      </c>
      <c r="E98" s="142">
        <v>0.18629999999999999</v>
      </c>
      <c r="F98" s="110">
        <v>0.2097</v>
      </c>
      <c r="G98" s="110">
        <v>0.14510000000000001</v>
      </c>
    </row>
    <row r="99" spans="1:7" x14ac:dyDescent="0.3">
      <c r="A99" s="3"/>
      <c r="B99" s="309"/>
      <c r="C99" s="5" t="s">
        <v>396</v>
      </c>
      <c r="D99" s="142">
        <v>2.3E-3</v>
      </c>
      <c r="E99" s="142">
        <v>0.15240000000000001</v>
      </c>
      <c r="F99" s="110">
        <v>0.29930000000000001</v>
      </c>
      <c r="G99" s="88">
        <v>31.03</v>
      </c>
    </row>
    <row r="100" spans="1:7" x14ac:dyDescent="0.3">
      <c r="A100" s="3"/>
      <c r="B100" s="309"/>
      <c r="C100" s="5" t="s">
        <v>397</v>
      </c>
      <c r="D100" s="142">
        <v>6.0000000000000001E-3</v>
      </c>
      <c r="E100" s="142">
        <v>4.9000000000000002E-2</v>
      </c>
      <c r="F100" s="110">
        <v>8.3099999999999993E-2</v>
      </c>
      <c r="G100" s="88">
        <v>6.07</v>
      </c>
    </row>
    <row r="101" spans="1:7" x14ac:dyDescent="0.3">
      <c r="A101" s="3"/>
      <c r="B101" s="309"/>
      <c r="C101" s="5" t="s">
        <v>398</v>
      </c>
      <c r="D101" s="142">
        <v>0.18390000000000001</v>
      </c>
      <c r="E101" s="142">
        <v>-8.8999999999999999E-3</v>
      </c>
      <c r="F101" s="110">
        <v>8.6999999999999994E-3</v>
      </c>
      <c r="G101" s="110">
        <v>-1E-4</v>
      </c>
    </row>
    <row r="102" spans="1:7" x14ac:dyDescent="0.3">
      <c r="A102" s="3"/>
      <c r="B102" s="298"/>
      <c r="C102" s="54" t="s">
        <v>295</v>
      </c>
      <c r="D102" s="143">
        <f>AVERAGE(D98:D101)</f>
        <v>6.7525000000000002E-2</v>
      </c>
      <c r="E102" s="143">
        <f>AVERAGE(E98:E101)</f>
        <v>9.4699999999999993E-2</v>
      </c>
      <c r="F102" s="143">
        <f>AVERAGE(F98:F101)</f>
        <v>0.1502</v>
      </c>
      <c r="G102" s="131">
        <f>AVERAGE(G98:G101)</f>
        <v>9.3112499999999994</v>
      </c>
    </row>
    <row r="103" spans="1:7" x14ac:dyDescent="0.3">
      <c r="A103" s="3"/>
      <c r="B103" s="310" t="s">
        <v>61</v>
      </c>
      <c r="C103" s="54" t="s">
        <v>399</v>
      </c>
      <c r="D103" s="135">
        <v>15.53</v>
      </c>
      <c r="E103" s="135">
        <v>22.02</v>
      </c>
      <c r="F103" s="88">
        <v>20.03</v>
      </c>
      <c r="G103" s="88">
        <v>25.67</v>
      </c>
    </row>
    <row r="104" spans="1:7" x14ac:dyDescent="0.3">
      <c r="A104" s="3"/>
      <c r="B104" s="310"/>
      <c r="C104" s="54" t="s">
        <v>237</v>
      </c>
      <c r="D104" s="135"/>
      <c r="E104" s="135"/>
      <c r="F104" s="88"/>
      <c r="G104" s="88"/>
    </row>
    <row r="105" spans="1:7" x14ac:dyDescent="0.3">
      <c r="A105" s="3"/>
      <c r="B105" s="310"/>
      <c r="C105" s="5" t="s">
        <v>395</v>
      </c>
      <c r="D105" s="151">
        <v>14.36</v>
      </c>
      <c r="E105" s="151">
        <v>181</v>
      </c>
      <c r="F105" s="88">
        <v>26.97</v>
      </c>
      <c r="G105" s="88">
        <v>31.81</v>
      </c>
    </row>
    <row r="106" spans="1:7" x14ac:dyDescent="0.3">
      <c r="A106" s="3"/>
      <c r="B106" s="310"/>
      <c r="C106" s="5" t="s">
        <v>396</v>
      </c>
      <c r="D106" s="134">
        <v>19.04</v>
      </c>
      <c r="E106" s="134">
        <v>23.55</v>
      </c>
      <c r="F106" s="90">
        <v>32</v>
      </c>
      <c r="G106" s="90">
        <v>4.5</v>
      </c>
    </row>
    <row r="107" spans="1:7" x14ac:dyDescent="0.3">
      <c r="A107" s="3"/>
      <c r="B107" s="310"/>
      <c r="C107" s="5" t="s">
        <v>397</v>
      </c>
      <c r="D107" s="134">
        <v>64.010000000000005</v>
      </c>
      <c r="E107" s="152">
        <v>67.23</v>
      </c>
      <c r="F107" s="88">
        <v>74.040000000000006</v>
      </c>
      <c r="G107" s="88">
        <v>78.42</v>
      </c>
    </row>
    <row r="108" spans="1:7" x14ac:dyDescent="0.3">
      <c r="A108" s="3"/>
      <c r="B108" s="310"/>
      <c r="C108" s="5" t="s">
        <v>398</v>
      </c>
      <c r="D108" s="134">
        <v>87.43</v>
      </c>
      <c r="E108" s="152">
        <v>2820.37</v>
      </c>
      <c r="F108" s="88">
        <v>83.66</v>
      </c>
      <c r="G108" s="88">
        <v>83.93</v>
      </c>
    </row>
    <row r="109" spans="1:7" x14ac:dyDescent="0.35">
      <c r="A109" s="3"/>
      <c r="B109" s="310"/>
      <c r="C109" s="54" t="s">
        <v>295</v>
      </c>
      <c r="D109" s="144">
        <f>AVERAGE(D105:D108)</f>
        <v>46.21</v>
      </c>
      <c r="E109" s="158">
        <f>AVERAGE(E105:E108)</f>
        <v>773.03750000000002</v>
      </c>
      <c r="F109" s="158">
        <f>AVERAGE(F105:F108)</f>
        <v>54.167499999999997</v>
      </c>
      <c r="G109" s="157">
        <f>AVERAGE(G105:G108)</f>
        <v>49.665000000000006</v>
      </c>
    </row>
    <row r="110" spans="1:7" x14ac:dyDescent="0.3">
      <c r="A110" s="3"/>
      <c r="B110" s="301"/>
      <c r="C110" s="302"/>
      <c r="D110" s="302"/>
      <c r="E110" s="302"/>
      <c r="F110" s="302"/>
      <c r="G110" s="303"/>
    </row>
    <row r="111" spans="1:7" s="2" customFormat="1" x14ac:dyDescent="0.3">
      <c r="B111" s="253"/>
      <c r="C111" s="270"/>
      <c r="D111" s="270"/>
      <c r="E111" s="270"/>
      <c r="F111" s="270"/>
      <c r="G111" s="254"/>
    </row>
    <row r="112" spans="1:7" x14ac:dyDescent="0.3">
      <c r="A112" s="3"/>
      <c r="B112" s="304" t="s">
        <v>572</v>
      </c>
      <c r="C112" s="242"/>
      <c r="D112" s="242"/>
      <c r="E112" s="242"/>
      <c r="F112" s="242"/>
      <c r="G112" s="305"/>
    </row>
    <row r="113" spans="1:8" ht="43.2" customHeight="1" x14ac:dyDescent="0.3">
      <c r="A113" s="3"/>
      <c r="B113" s="242" t="s">
        <v>951</v>
      </c>
      <c r="C113" s="242"/>
      <c r="D113" s="242"/>
      <c r="E113" s="242"/>
      <c r="F113" s="242"/>
      <c r="G113" s="242"/>
    </row>
    <row r="114" spans="1:8" x14ac:dyDescent="0.3">
      <c r="C114" s="306"/>
      <c r="D114" s="306"/>
      <c r="E114" s="306"/>
      <c r="F114" s="306"/>
      <c r="G114" s="306"/>
    </row>
    <row r="115" spans="1:8" x14ac:dyDescent="0.3">
      <c r="A115" s="3">
        <v>14</v>
      </c>
      <c r="B115" s="54" t="s">
        <v>63</v>
      </c>
      <c r="C115" s="307" t="s">
        <v>50</v>
      </c>
      <c r="D115" s="308"/>
      <c r="E115" s="308"/>
      <c r="F115" s="308"/>
      <c r="G115" s="249"/>
    </row>
    <row r="116" spans="1:8" x14ac:dyDescent="0.3">
      <c r="C116" s="55"/>
      <c r="D116" s="55"/>
      <c r="E116" s="55"/>
      <c r="F116" s="55"/>
      <c r="G116" s="55"/>
    </row>
    <row r="117" spans="1:8" x14ac:dyDescent="0.3">
      <c r="B117" s="299" t="s">
        <v>400</v>
      </c>
      <c r="C117" s="299"/>
      <c r="D117" s="299"/>
      <c r="E117" s="299"/>
      <c r="F117" s="299"/>
      <c r="G117" s="299"/>
      <c r="H117" s="299"/>
    </row>
    <row r="122" spans="1:8" x14ac:dyDescent="0.3">
      <c r="D122" s="56"/>
      <c r="E122" s="56"/>
    </row>
    <row r="123" spans="1:8" x14ac:dyDescent="0.3">
      <c r="E123" s="56"/>
    </row>
  </sheetData>
  <mergeCells count="65">
    <mergeCell ref="B103:B109"/>
    <mergeCell ref="C64:E64"/>
    <mergeCell ref="C62:E62"/>
    <mergeCell ref="C63:E63"/>
    <mergeCell ref="B113:G113"/>
    <mergeCell ref="B117:H117"/>
    <mergeCell ref="C3:E3"/>
    <mergeCell ref="B110:G110"/>
    <mergeCell ref="B111:G111"/>
    <mergeCell ref="B112:G112"/>
    <mergeCell ref="C114:G114"/>
    <mergeCell ref="C115:G115"/>
    <mergeCell ref="B74:F74"/>
    <mergeCell ref="B75:F75"/>
    <mergeCell ref="B77:G77"/>
    <mergeCell ref="B80:B88"/>
    <mergeCell ref="B89:B95"/>
    <mergeCell ref="B96:B102"/>
    <mergeCell ref="L68:N68"/>
    <mergeCell ref="B72:N72"/>
    <mergeCell ref="B73:F73"/>
    <mergeCell ref="B68:B69"/>
    <mergeCell ref="C68:C69"/>
    <mergeCell ref="D68:D69"/>
    <mergeCell ref="E68:E69"/>
    <mergeCell ref="F68:H68"/>
    <mergeCell ref="I68:K68"/>
    <mergeCell ref="B52:D52"/>
    <mergeCell ref="B61:E61"/>
    <mergeCell ref="C43:E43"/>
    <mergeCell ref="B53:E53"/>
    <mergeCell ref="B60:E60"/>
    <mergeCell ref="B55:B56"/>
    <mergeCell ref="C55:E56"/>
    <mergeCell ref="C57:E57"/>
    <mergeCell ref="C58:E58"/>
    <mergeCell ref="B59:E59"/>
    <mergeCell ref="C44:E44"/>
    <mergeCell ref="B45:E45"/>
    <mergeCell ref="B47:E47"/>
    <mergeCell ref="B50:E50"/>
    <mergeCell ref="B54:E54"/>
    <mergeCell ref="C22:E22"/>
    <mergeCell ref="C23:E23"/>
    <mergeCell ref="C24:E24"/>
    <mergeCell ref="B26:E26"/>
    <mergeCell ref="B27:E27"/>
    <mergeCell ref="B25:E25"/>
    <mergeCell ref="B33:E33"/>
    <mergeCell ref="B35:E35"/>
    <mergeCell ref="B39:D39"/>
    <mergeCell ref="B41:E41"/>
    <mergeCell ref="C42:E42"/>
    <mergeCell ref="C21:E21"/>
    <mergeCell ref="A1:B1"/>
    <mergeCell ref="C5:E5"/>
    <mergeCell ref="B6:D6"/>
    <mergeCell ref="B9:D9"/>
    <mergeCell ref="C11:E11"/>
    <mergeCell ref="B12:D12"/>
    <mergeCell ref="C14:E14"/>
    <mergeCell ref="B15:D15"/>
    <mergeCell ref="B17:C17"/>
    <mergeCell ref="B19:E19"/>
    <mergeCell ref="C20:E20"/>
  </mergeCells>
  <pageMargins left="0.70866141732283472" right="0.70866141732283472" top="0.74803149606299213" bottom="0.74803149606299213" header="0.31496062992125984" footer="0.31496062992125984"/>
  <pageSetup paperSize="9" scale="27" fitToWidth="70" fitToHeight="2" orientation="landscape" horizontalDpi="4294967292"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120"/>
  <sheetViews>
    <sheetView view="pageBreakPreview" zoomScale="57" zoomScaleNormal="100" zoomScaleSheetLayoutView="57" workbookViewId="0">
      <selection activeCell="I74" sqref="I74"/>
    </sheetView>
  </sheetViews>
  <sheetFormatPr defaultColWidth="8.6640625" defaultRowHeight="21" x14ac:dyDescent="0.3"/>
  <cols>
    <col min="1" max="1" width="8.6640625" style="1"/>
    <col min="2" max="2" width="52.33203125" style="1" customWidth="1"/>
    <col min="3" max="3" width="75.5546875" style="1" customWidth="1"/>
    <col min="4" max="4" width="94.88671875" style="1" customWidth="1"/>
    <col min="5" max="5" width="27" style="1" customWidth="1"/>
    <col min="6" max="6" width="13.6640625" style="1" customWidth="1"/>
    <col min="7" max="7" width="22.6640625" style="1" customWidth="1"/>
    <col min="8" max="8" width="33.33203125" style="1" customWidth="1"/>
    <col min="9" max="9" width="24.6640625" style="1" customWidth="1"/>
    <col min="10" max="10" width="18.6640625" style="1" customWidth="1"/>
    <col min="11" max="11" width="15.33203125" style="1" customWidth="1"/>
    <col min="12" max="13" width="12.6640625" style="1" customWidth="1"/>
    <col min="14" max="15" width="13" style="1" customWidth="1"/>
    <col min="16" max="16" width="0" style="1" hidden="1" customWidth="1"/>
    <col min="17" max="16384" width="8.6640625" style="1"/>
  </cols>
  <sheetData>
    <row r="1" spans="1:5" x14ac:dyDescent="0.3">
      <c r="A1" s="325" t="s">
        <v>0</v>
      </c>
      <c r="B1" s="325"/>
      <c r="D1" s="2"/>
    </row>
    <row r="3" spans="1:5" ht="40.799999999999997" x14ac:dyDescent="0.3">
      <c r="A3" s="3" t="s">
        <v>1</v>
      </c>
      <c r="B3" s="4" t="s">
        <v>2</v>
      </c>
      <c r="C3" s="5" t="s">
        <v>131</v>
      </c>
    </row>
    <row r="4" spans="1:5" x14ac:dyDescent="0.3">
      <c r="D4" s="6"/>
    </row>
    <row r="5" spans="1:5" x14ac:dyDescent="0.3">
      <c r="A5" s="7">
        <v>1</v>
      </c>
      <c r="B5" s="8" t="s">
        <v>3</v>
      </c>
      <c r="C5" s="247" t="s">
        <v>132</v>
      </c>
      <c r="D5" s="248"/>
      <c r="E5" s="249"/>
    </row>
    <row r="6" spans="1:5" x14ac:dyDescent="0.3">
      <c r="A6" s="9"/>
      <c r="B6" s="326" t="s">
        <v>4</v>
      </c>
      <c r="C6" s="326"/>
      <c r="D6" s="326"/>
      <c r="E6" s="10"/>
    </row>
    <row r="7" spans="1:5" x14ac:dyDescent="0.3">
      <c r="A7" s="9"/>
      <c r="B7" s="11"/>
      <c r="D7" s="6"/>
    </row>
    <row r="8" spans="1:5" x14ac:dyDescent="0.3">
      <c r="A8" s="9">
        <v>2</v>
      </c>
      <c r="B8" s="8" t="s">
        <v>5</v>
      </c>
      <c r="C8" s="12" t="s">
        <v>133</v>
      </c>
      <c r="D8" s="6"/>
    </row>
    <row r="9" spans="1:5" x14ac:dyDescent="0.3">
      <c r="A9" s="9"/>
      <c r="B9" s="322" t="s">
        <v>4</v>
      </c>
      <c r="C9" s="323"/>
      <c r="D9" s="324"/>
    </row>
    <row r="10" spans="1:5" x14ac:dyDescent="0.3">
      <c r="A10" s="9"/>
      <c r="B10" s="11"/>
      <c r="D10" s="6"/>
    </row>
    <row r="11" spans="1:5" ht="40.950000000000003" customHeight="1" x14ac:dyDescent="0.3">
      <c r="A11" s="9">
        <v>3</v>
      </c>
      <c r="B11" s="8" t="s">
        <v>6</v>
      </c>
      <c r="C11" s="247" t="s">
        <v>102</v>
      </c>
      <c r="D11" s="248"/>
      <c r="E11" s="249"/>
    </row>
    <row r="12" spans="1:5" x14ac:dyDescent="0.3">
      <c r="A12" s="9"/>
      <c r="B12" s="326" t="s">
        <v>4</v>
      </c>
      <c r="C12" s="326"/>
      <c r="D12" s="326"/>
      <c r="E12" s="10"/>
    </row>
    <row r="13" spans="1:5" x14ac:dyDescent="0.3">
      <c r="A13" s="9"/>
      <c r="B13" s="11"/>
      <c r="D13" s="6"/>
    </row>
    <row r="14" spans="1:5" x14ac:dyDescent="0.3">
      <c r="A14" s="9">
        <v>4</v>
      </c>
      <c r="B14" s="4" t="s">
        <v>7</v>
      </c>
      <c r="C14" s="5" t="s">
        <v>134</v>
      </c>
      <c r="D14" s="6"/>
    </row>
    <row r="15" spans="1:5" x14ac:dyDescent="0.3">
      <c r="A15" s="9"/>
      <c r="B15" s="327" t="s">
        <v>8</v>
      </c>
      <c r="C15" s="328"/>
      <c r="D15" s="6"/>
    </row>
    <row r="16" spans="1:5" x14ac:dyDescent="0.3">
      <c r="A16" s="9"/>
      <c r="D16" s="6"/>
    </row>
    <row r="17" spans="1:15" ht="41.25" customHeight="1" x14ac:dyDescent="0.3">
      <c r="A17" s="9">
        <v>5</v>
      </c>
      <c r="B17" s="329" t="s">
        <v>9</v>
      </c>
      <c r="C17" s="330"/>
      <c r="D17" s="330"/>
      <c r="E17" s="330"/>
      <c r="F17" s="11"/>
      <c r="G17" s="11"/>
      <c r="H17" s="11"/>
      <c r="I17" s="11"/>
      <c r="J17" s="13"/>
      <c r="K17" s="13"/>
      <c r="L17" s="13"/>
      <c r="M17" s="13"/>
      <c r="N17" s="13"/>
      <c r="O17" s="13"/>
    </row>
    <row r="18" spans="1:15" x14ac:dyDescent="0.3">
      <c r="A18" s="9"/>
      <c r="B18" s="14" t="s">
        <v>10</v>
      </c>
      <c r="C18" s="331" t="s">
        <v>11</v>
      </c>
      <c r="D18" s="331"/>
      <c r="E18" s="331"/>
      <c r="F18" s="15"/>
      <c r="G18" s="13"/>
      <c r="H18" s="13"/>
      <c r="I18" s="13"/>
      <c r="J18" s="13"/>
      <c r="K18" s="13"/>
      <c r="L18" s="13"/>
      <c r="M18" s="13"/>
      <c r="N18" s="13"/>
      <c r="O18" s="13"/>
    </row>
    <row r="19" spans="1:15" ht="77.25" customHeight="1" x14ac:dyDescent="0.3">
      <c r="A19" s="9"/>
      <c r="B19" s="14" t="s">
        <v>105</v>
      </c>
      <c r="C19" s="332" t="s">
        <v>11</v>
      </c>
      <c r="D19" s="333"/>
      <c r="E19" s="334"/>
      <c r="F19" s="15"/>
      <c r="G19" s="13"/>
      <c r="I19" s="13"/>
      <c r="J19" s="13"/>
      <c r="K19" s="13"/>
      <c r="L19" s="13"/>
      <c r="M19" s="13"/>
      <c r="N19" s="13"/>
      <c r="O19" s="13"/>
    </row>
    <row r="20" spans="1:15" x14ac:dyDescent="0.3">
      <c r="A20" s="9"/>
      <c r="B20" s="14" t="s">
        <v>12</v>
      </c>
      <c r="C20" s="372">
        <v>0.1255</v>
      </c>
      <c r="D20" s="333"/>
      <c r="E20" s="334"/>
      <c r="F20" s="15"/>
      <c r="G20" s="13"/>
      <c r="H20" s="13"/>
      <c r="I20" s="13"/>
      <c r="J20" s="13"/>
      <c r="K20" s="13"/>
      <c r="L20" s="13"/>
      <c r="M20" s="13"/>
      <c r="N20" s="13"/>
      <c r="O20" s="13"/>
    </row>
    <row r="21" spans="1:15" x14ac:dyDescent="0.3">
      <c r="A21" s="9"/>
      <c r="B21" s="16" t="s">
        <v>13</v>
      </c>
      <c r="C21" s="369">
        <v>0.1862</v>
      </c>
      <c r="D21" s="370"/>
      <c r="E21" s="371"/>
      <c r="F21" s="15"/>
      <c r="G21" s="13"/>
      <c r="H21" s="13"/>
      <c r="I21" s="13"/>
      <c r="J21" s="13"/>
      <c r="K21" s="13"/>
      <c r="L21" s="13"/>
      <c r="M21" s="13"/>
      <c r="N21" s="13"/>
      <c r="O21" s="13"/>
    </row>
    <row r="22" spans="1:15" x14ac:dyDescent="0.3">
      <c r="A22" s="9"/>
      <c r="B22" s="17" t="s">
        <v>14</v>
      </c>
      <c r="C22" s="367">
        <v>0.1822</v>
      </c>
      <c r="D22" s="368"/>
      <c r="E22" s="368"/>
      <c r="F22" s="15"/>
      <c r="G22" s="13"/>
      <c r="H22" s="13"/>
      <c r="I22" s="13"/>
      <c r="J22" s="13"/>
      <c r="K22" s="13"/>
      <c r="L22" s="13"/>
      <c r="M22" s="13"/>
      <c r="N22" s="13"/>
      <c r="O22" s="13"/>
    </row>
    <row r="23" spans="1:15" x14ac:dyDescent="0.3">
      <c r="A23" s="9"/>
      <c r="B23" s="15"/>
      <c r="C23" s="15"/>
      <c r="D23" s="15"/>
      <c r="E23" s="15"/>
      <c r="F23" s="15"/>
      <c r="G23" s="13"/>
      <c r="H23" s="13"/>
      <c r="I23" s="13"/>
      <c r="J23" s="13"/>
      <c r="K23" s="13"/>
      <c r="L23" s="13"/>
      <c r="M23" s="13"/>
      <c r="N23" s="13"/>
      <c r="O23" s="13"/>
    </row>
    <row r="24" spans="1:15" ht="42.75" customHeight="1" x14ac:dyDescent="0.3">
      <c r="A24" s="9">
        <v>6</v>
      </c>
      <c r="B24" s="329" t="s">
        <v>74</v>
      </c>
      <c r="C24" s="329"/>
      <c r="D24" s="329"/>
      <c r="E24" s="329"/>
      <c r="F24" s="11"/>
      <c r="G24" s="11"/>
      <c r="H24" s="13"/>
      <c r="I24" s="11"/>
      <c r="J24" s="11"/>
    </row>
    <row r="25" spans="1:15" x14ac:dyDescent="0.3">
      <c r="A25" s="9"/>
      <c r="B25" s="340" t="s">
        <v>17</v>
      </c>
      <c r="C25" s="341"/>
      <c r="D25" s="341"/>
      <c r="E25" s="342"/>
      <c r="F25" s="15"/>
    </row>
    <row r="26" spans="1:15" x14ac:dyDescent="0.3">
      <c r="A26" s="9"/>
      <c r="B26" s="17" t="s">
        <v>18</v>
      </c>
      <c r="C26" s="18" t="s">
        <v>77</v>
      </c>
      <c r="D26" s="18" t="s">
        <v>19</v>
      </c>
      <c r="E26" s="18" t="s">
        <v>20</v>
      </c>
      <c r="F26" s="15"/>
    </row>
    <row r="27" spans="1:15" ht="22.5" customHeight="1" x14ac:dyDescent="0.3">
      <c r="A27" s="9"/>
      <c r="B27" s="19" t="s">
        <v>155</v>
      </c>
      <c r="C27" s="21">
        <v>1518.62</v>
      </c>
      <c r="D27" s="128">
        <v>5263.3</v>
      </c>
      <c r="E27" s="183">
        <v>8066.38</v>
      </c>
      <c r="F27" s="15"/>
    </row>
    <row r="28" spans="1:15" x14ac:dyDescent="0.3">
      <c r="A28" s="9"/>
      <c r="B28" s="19" t="s">
        <v>23</v>
      </c>
      <c r="C28" s="21">
        <v>78.34</v>
      </c>
      <c r="D28" s="128">
        <v>1007.04</v>
      </c>
      <c r="E28" s="183">
        <v>1852.46</v>
      </c>
      <c r="F28" s="15"/>
    </row>
    <row r="29" spans="1:15" x14ac:dyDescent="0.3">
      <c r="A29" s="9"/>
      <c r="B29" s="19" t="s">
        <v>24</v>
      </c>
      <c r="C29" s="21">
        <v>353.04</v>
      </c>
      <c r="D29" s="128">
        <v>2471.2800000000002</v>
      </c>
      <c r="E29" s="182">
        <v>2471.2800000000002</v>
      </c>
      <c r="F29" s="15"/>
    </row>
    <row r="30" spans="1:15" x14ac:dyDescent="0.3">
      <c r="A30" s="9"/>
      <c r="B30" s="19" t="s">
        <v>25</v>
      </c>
      <c r="C30" s="21">
        <v>1563.93</v>
      </c>
      <c r="D30" s="21">
        <v>452.51</v>
      </c>
      <c r="E30" s="183">
        <v>2312.5500000000002</v>
      </c>
      <c r="F30" s="15"/>
    </row>
    <row r="31" spans="1:15" ht="21" customHeight="1" x14ac:dyDescent="0.3">
      <c r="A31" s="9"/>
      <c r="B31" s="327" t="s">
        <v>125</v>
      </c>
      <c r="C31" s="338"/>
      <c r="D31" s="338"/>
      <c r="E31" s="339"/>
      <c r="F31" s="15"/>
    </row>
    <row r="32" spans="1:15" x14ac:dyDescent="0.3">
      <c r="A32" s="9"/>
      <c r="B32" s="13"/>
      <c r="C32" s="15"/>
      <c r="D32" s="15"/>
      <c r="E32" s="15"/>
      <c r="F32" s="15"/>
    </row>
    <row r="33" spans="1:10" ht="39" customHeight="1" x14ac:dyDescent="0.3">
      <c r="A33" s="9">
        <v>7</v>
      </c>
      <c r="B33" s="329" t="s">
        <v>26</v>
      </c>
      <c r="C33" s="329"/>
      <c r="D33" s="329"/>
      <c r="E33" s="329"/>
      <c r="F33" s="11"/>
      <c r="G33" s="11"/>
      <c r="H33" s="11"/>
      <c r="I33" s="11"/>
      <c r="J33" s="11"/>
    </row>
    <row r="34" spans="1:10" x14ac:dyDescent="0.3">
      <c r="A34" s="9"/>
      <c r="B34" s="17" t="s">
        <v>27</v>
      </c>
      <c r="C34" s="21" t="s">
        <v>75</v>
      </c>
      <c r="D34" s="13"/>
      <c r="E34" s="13"/>
      <c r="F34" s="13"/>
    </row>
    <row r="35" spans="1:10" x14ac:dyDescent="0.3">
      <c r="A35" s="9"/>
      <c r="B35" s="17" t="s">
        <v>28</v>
      </c>
      <c r="C35" s="21" t="s">
        <v>494</v>
      </c>
      <c r="D35" s="13"/>
      <c r="E35" s="13"/>
      <c r="F35" s="13"/>
    </row>
    <row r="36" spans="1:10" x14ac:dyDescent="0.3">
      <c r="A36" s="9"/>
      <c r="B36" s="17" t="s">
        <v>29</v>
      </c>
      <c r="C36" s="21" t="s">
        <v>494</v>
      </c>
      <c r="D36" s="13"/>
      <c r="E36" s="13"/>
      <c r="F36" s="13"/>
    </row>
    <row r="37" spans="1:10" x14ac:dyDescent="0.3">
      <c r="A37" s="9"/>
      <c r="C37" s="13"/>
      <c r="D37" s="13"/>
      <c r="E37" s="13"/>
      <c r="F37" s="13"/>
    </row>
    <row r="38" spans="1:10" x14ac:dyDescent="0.3">
      <c r="A38" s="9"/>
      <c r="B38" s="15"/>
      <c r="C38" s="13"/>
      <c r="D38" s="13"/>
      <c r="E38" s="13"/>
      <c r="F38" s="13"/>
    </row>
    <row r="39" spans="1:10" ht="45" customHeight="1" x14ac:dyDescent="0.3">
      <c r="A39" s="9">
        <v>8</v>
      </c>
      <c r="B39" s="329" t="s">
        <v>30</v>
      </c>
      <c r="C39" s="329"/>
      <c r="D39" s="329"/>
      <c r="E39" s="329"/>
      <c r="F39" s="11"/>
      <c r="G39" s="11"/>
      <c r="H39" s="11"/>
      <c r="I39" s="11"/>
      <c r="J39" s="11"/>
    </row>
    <row r="40" spans="1:10" ht="80.25" customHeight="1" x14ac:dyDescent="0.3">
      <c r="A40" s="9"/>
      <c r="B40" s="17" t="s">
        <v>31</v>
      </c>
      <c r="C40" s="373" t="s">
        <v>135</v>
      </c>
      <c r="D40" s="374"/>
      <c r="E40" s="375"/>
      <c r="F40" s="13"/>
    </row>
    <row r="41" spans="1:10" x14ac:dyDescent="0.3">
      <c r="A41" s="9"/>
      <c r="B41" s="17" t="s">
        <v>28</v>
      </c>
      <c r="C41" s="335" t="s">
        <v>76</v>
      </c>
      <c r="D41" s="336"/>
      <c r="E41" s="337"/>
      <c r="F41" s="13"/>
    </row>
    <row r="42" spans="1:10" ht="21" customHeight="1" x14ac:dyDescent="0.3">
      <c r="A42" s="9"/>
      <c r="B42" s="17" t="s">
        <v>29</v>
      </c>
      <c r="C42" s="335" t="s">
        <v>648</v>
      </c>
      <c r="D42" s="336"/>
      <c r="E42" s="337"/>
      <c r="F42" s="13"/>
    </row>
    <row r="43" spans="1:10" x14ac:dyDescent="0.3">
      <c r="A43" s="9"/>
      <c r="B43" s="327"/>
      <c r="C43" s="338"/>
      <c r="D43" s="338"/>
      <c r="E43" s="339"/>
      <c r="F43" s="13"/>
    </row>
    <row r="44" spans="1:10" x14ac:dyDescent="0.3">
      <c r="A44" s="3"/>
      <c r="D44" s="22"/>
      <c r="E44" s="13"/>
    </row>
    <row r="45" spans="1:10" ht="42" customHeight="1" x14ac:dyDescent="0.3">
      <c r="A45" s="211">
        <v>9</v>
      </c>
      <c r="B45" s="343" t="s">
        <v>32</v>
      </c>
      <c r="C45" s="329"/>
      <c r="D45" s="329"/>
      <c r="E45" s="329"/>
      <c r="F45" s="23"/>
      <c r="G45" s="11"/>
      <c r="H45" s="11"/>
      <c r="I45" s="11"/>
    </row>
    <row r="46" spans="1:10" ht="81.599999999999994" x14ac:dyDescent="0.3">
      <c r="A46" s="211"/>
      <c r="B46" s="24" t="s">
        <v>33</v>
      </c>
      <c r="C46" s="25" t="s">
        <v>34</v>
      </c>
      <c r="D46" s="26" t="s">
        <v>65</v>
      </c>
      <c r="E46" s="25" t="s">
        <v>87</v>
      </c>
    </row>
    <row r="47" spans="1:10" ht="150.75" customHeight="1" x14ac:dyDescent="0.3">
      <c r="A47" s="211"/>
      <c r="B47" s="189" t="s">
        <v>136</v>
      </c>
      <c r="C47" s="27" t="s">
        <v>137</v>
      </c>
      <c r="D47" s="27" t="s">
        <v>138</v>
      </c>
      <c r="E47" s="27" t="s">
        <v>121</v>
      </c>
    </row>
    <row r="48" spans="1:10" ht="27.75" customHeight="1" x14ac:dyDescent="0.3">
      <c r="A48" s="211"/>
      <c r="B48" s="338" t="s">
        <v>40</v>
      </c>
      <c r="C48" s="338"/>
      <c r="D48" s="339"/>
      <c r="E48" s="93"/>
    </row>
    <row r="49" spans="1:15" ht="60" customHeight="1" x14ac:dyDescent="0.3">
      <c r="A49" s="211"/>
      <c r="B49" s="308" t="s">
        <v>139</v>
      </c>
      <c r="C49" s="308"/>
      <c r="D49" s="308"/>
      <c r="E49" s="308"/>
      <c r="F49" s="15"/>
      <c r="G49" s="15"/>
      <c r="H49" s="15"/>
      <c r="I49" s="15"/>
    </row>
    <row r="50" spans="1:15" ht="45" customHeight="1" x14ac:dyDescent="0.3">
      <c r="A50" s="211">
        <v>10</v>
      </c>
      <c r="B50" s="343" t="s">
        <v>32</v>
      </c>
      <c r="C50" s="329"/>
      <c r="D50" s="329"/>
      <c r="E50" s="329"/>
      <c r="F50" s="15"/>
      <c r="G50" s="15"/>
      <c r="H50" s="15"/>
    </row>
    <row r="51" spans="1:15" ht="34.5" customHeight="1" x14ac:dyDescent="0.3">
      <c r="A51" s="211"/>
      <c r="B51" s="275" t="s">
        <v>36</v>
      </c>
      <c r="C51" s="376" t="s">
        <v>137</v>
      </c>
      <c r="D51" s="377"/>
      <c r="E51" s="378"/>
      <c r="K51" s="2"/>
    </row>
    <row r="52" spans="1:15" ht="87.75" customHeight="1" x14ac:dyDescent="0.3">
      <c r="A52" s="211"/>
      <c r="B52" s="344"/>
      <c r="C52" s="379"/>
      <c r="D52" s="380"/>
      <c r="E52" s="381"/>
      <c r="K52" s="2"/>
    </row>
    <row r="53" spans="1:15" ht="113.25" customHeight="1" x14ac:dyDescent="0.3">
      <c r="A53" s="211"/>
      <c r="B53" s="29" t="s">
        <v>37</v>
      </c>
      <c r="C53" s="353" t="s">
        <v>138</v>
      </c>
      <c r="D53" s="353"/>
      <c r="E53" s="353"/>
    </row>
    <row r="54" spans="1:15" x14ac:dyDescent="0.3">
      <c r="A54" s="211"/>
      <c r="B54" s="29" t="s">
        <v>38</v>
      </c>
      <c r="C54" s="201" t="s">
        <v>140</v>
      </c>
      <c r="D54" s="91"/>
      <c r="E54" s="92"/>
      <c r="K54" s="30"/>
    </row>
    <row r="55" spans="1:15" s="32" customFormat="1" x14ac:dyDescent="0.4">
      <c r="A55" s="111" t="s">
        <v>39</v>
      </c>
      <c r="B55" s="291" t="s">
        <v>757</v>
      </c>
      <c r="C55" s="351"/>
      <c r="D55" s="351"/>
      <c r="E55" s="351"/>
    </row>
    <row r="56" spans="1:15" x14ac:dyDescent="0.3">
      <c r="A56" s="33"/>
      <c r="B56" s="34"/>
      <c r="C56" s="35"/>
      <c r="D56" s="35"/>
      <c r="E56" s="35"/>
      <c r="F56" s="35"/>
    </row>
    <row r="57" spans="1:15" x14ac:dyDescent="0.3">
      <c r="A57" s="9">
        <v>11</v>
      </c>
      <c r="B57" s="4" t="s">
        <v>41</v>
      </c>
      <c r="C57" s="356" t="s">
        <v>89</v>
      </c>
      <c r="D57" s="356"/>
      <c r="E57" s="356"/>
      <c r="F57" s="11"/>
      <c r="G57" s="11"/>
      <c r="H57" s="36"/>
      <c r="I57" s="11"/>
      <c r="J57" s="11"/>
    </row>
    <row r="58" spans="1:15" x14ac:dyDescent="0.3">
      <c r="A58" s="9"/>
      <c r="B58" s="15"/>
      <c r="C58" s="15"/>
      <c r="D58" s="15"/>
      <c r="E58" s="15"/>
      <c r="F58" s="15"/>
      <c r="G58" s="15"/>
      <c r="H58" s="37"/>
      <c r="I58" s="37"/>
      <c r="J58" s="15"/>
    </row>
    <row r="59" spans="1:15" s="42" customFormat="1" x14ac:dyDescent="0.3">
      <c r="A59" s="38">
        <v>12</v>
      </c>
      <c r="B59" s="39" t="s">
        <v>42</v>
      </c>
      <c r="C59" s="360"/>
      <c r="D59" s="360"/>
      <c r="E59" s="360"/>
      <c r="F59" s="40"/>
      <c r="G59" s="41"/>
      <c r="H59" s="41"/>
      <c r="I59" s="41"/>
      <c r="J59" s="41"/>
      <c r="K59" s="41"/>
      <c r="L59" s="41"/>
      <c r="M59" s="41"/>
      <c r="N59" s="41"/>
      <c r="O59" s="41"/>
    </row>
    <row r="60" spans="1:15" x14ac:dyDescent="0.3">
      <c r="A60" s="9"/>
      <c r="B60" s="11"/>
      <c r="C60" s="11"/>
      <c r="D60" s="11"/>
      <c r="E60" s="36"/>
      <c r="F60" s="36"/>
      <c r="G60" s="36"/>
      <c r="H60" s="11"/>
      <c r="I60" s="11"/>
      <c r="J60" s="11"/>
      <c r="K60" s="11"/>
      <c r="L60" s="11"/>
      <c r="M60" s="11"/>
      <c r="N60" s="11"/>
      <c r="O60" s="11"/>
    </row>
    <row r="61" spans="1:15" x14ac:dyDescent="0.3">
      <c r="A61" s="9"/>
      <c r="B61" s="17" t="s">
        <v>43</v>
      </c>
      <c r="C61" s="19" t="s">
        <v>141</v>
      </c>
      <c r="D61" s="15"/>
      <c r="E61" s="15"/>
      <c r="F61" s="37"/>
      <c r="G61" s="37"/>
      <c r="H61" s="15"/>
      <c r="I61" s="15"/>
      <c r="J61" s="15"/>
      <c r="K61" s="15"/>
      <c r="L61" s="15"/>
      <c r="M61" s="15"/>
      <c r="N61" s="15"/>
      <c r="O61" s="15"/>
    </row>
    <row r="62" spans="1:15" x14ac:dyDescent="0.3">
      <c r="A62" s="9"/>
      <c r="B62" s="15"/>
      <c r="C62" s="15"/>
      <c r="D62" s="15"/>
      <c r="E62" s="15"/>
      <c r="F62" s="15"/>
      <c r="G62" s="15"/>
      <c r="H62" s="15"/>
      <c r="I62" s="15"/>
      <c r="J62" s="15"/>
      <c r="K62" s="15"/>
      <c r="L62" s="15"/>
      <c r="M62" s="15"/>
      <c r="N62" s="15"/>
      <c r="O62" s="15"/>
    </row>
    <row r="63" spans="1:15" ht="81.75" customHeight="1" x14ac:dyDescent="0.3">
      <c r="A63" s="9"/>
      <c r="B63" s="329" t="s">
        <v>44</v>
      </c>
      <c r="C63" s="330" t="s">
        <v>142</v>
      </c>
      <c r="D63" s="330" t="s">
        <v>68</v>
      </c>
      <c r="E63" s="358" t="s">
        <v>45</v>
      </c>
      <c r="F63" s="292" t="s">
        <v>117</v>
      </c>
      <c r="G63" s="293"/>
      <c r="H63" s="294"/>
      <c r="I63" s="292" t="s">
        <v>506</v>
      </c>
      <c r="J63" s="293"/>
      <c r="K63" s="294"/>
      <c r="L63" s="382" t="s">
        <v>548</v>
      </c>
      <c r="M63" s="383"/>
      <c r="N63" s="384"/>
      <c r="O63" s="9"/>
    </row>
    <row r="64" spans="1:15" ht="61.2" x14ac:dyDescent="0.3">
      <c r="A64" s="3"/>
      <c r="B64" s="329"/>
      <c r="C64" s="357"/>
      <c r="D64" s="357"/>
      <c r="E64" s="359"/>
      <c r="F64" s="162" t="s">
        <v>46</v>
      </c>
      <c r="G64" s="162" t="s">
        <v>47</v>
      </c>
      <c r="H64" s="17" t="s">
        <v>48</v>
      </c>
      <c r="I64" s="17" t="s">
        <v>49</v>
      </c>
      <c r="J64" s="17" t="s">
        <v>47</v>
      </c>
      <c r="K64" s="17" t="s">
        <v>48</v>
      </c>
      <c r="L64" s="17" t="s">
        <v>49</v>
      </c>
      <c r="M64" s="17" t="s">
        <v>47</v>
      </c>
      <c r="N64" s="17" t="s">
        <v>48</v>
      </c>
      <c r="O64" s="15"/>
    </row>
    <row r="65" spans="1:15" ht="20.25" customHeight="1" x14ac:dyDescent="0.3">
      <c r="A65" s="3"/>
      <c r="B65" s="17" t="s">
        <v>112</v>
      </c>
      <c r="C65" s="43">
        <v>174</v>
      </c>
      <c r="D65" s="44">
        <v>250.5</v>
      </c>
      <c r="E65" s="44">
        <v>224</v>
      </c>
      <c r="F65" s="44">
        <v>143</v>
      </c>
      <c r="G65" s="44">
        <v>285</v>
      </c>
      <c r="H65" s="44">
        <v>100.4</v>
      </c>
      <c r="I65" s="51">
        <v>501.45</v>
      </c>
      <c r="J65" s="51">
        <v>4319.8500000000004</v>
      </c>
      <c r="K65" s="51">
        <v>145.5</v>
      </c>
      <c r="L65" s="51">
        <v>604.6</v>
      </c>
      <c r="M65" s="51">
        <v>1143.25</v>
      </c>
      <c r="N65" s="51">
        <v>332</v>
      </c>
      <c r="O65" s="49"/>
    </row>
    <row r="66" spans="1:15" ht="40.799999999999997" x14ac:dyDescent="0.3">
      <c r="A66" s="3"/>
      <c r="B66" s="20" t="s">
        <v>113</v>
      </c>
      <c r="C66" s="43">
        <v>53886.61</v>
      </c>
      <c r="D66" s="44">
        <v>58817.29</v>
      </c>
      <c r="E66" s="44">
        <v>57991.11</v>
      </c>
      <c r="F66" s="44">
        <v>58991.519999999997</v>
      </c>
      <c r="G66" s="44">
        <v>63583.07</v>
      </c>
      <c r="H66" s="44">
        <v>50921.22</v>
      </c>
      <c r="I66" s="44">
        <v>58991.519999999997</v>
      </c>
      <c r="J66" s="44">
        <v>63583.07</v>
      </c>
      <c r="K66" s="44">
        <v>50921.22</v>
      </c>
      <c r="L66" s="51">
        <v>77414.92</v>
      </c>
      <c r="M66" s="51">
        <v>85978.25</v>
      </c>
      <c r="N66" s="51">
        <v>70234.429999999993</v>
      </c>
      <c r="O66" s="49"/>
    </row>
    <row r="67" spans="1:15" x14ac:dyDescent="0.3">
      <c r="A67" s="3"/>
      <c r="B67" s="364" t="s">
        <v>115</v>
      </c>
      <c r="C67" s="364"/>
      <c r="D67" s="364"/>
      <c r="E67" s="364"/>
      <c r="F67" s="364"/>
      <c r="G67" s="364"/>
      <c r="H67" s="364"/>
      <c r="I67" s="364"/>
      <c r="J67" s="364"/>
      <c r="K67" s="364"/>
      <c r="L67" s="364"/>
      <c r="M67" s="364"/>
      <c r="N67" s="364"/>
      <c r="O67" s="221"/>
    </row>
    <row r="68" spans="1:15" ht="25.5" customHeight="1" x14ac:dyDescent="0.3">
      <c r="A68" s="3"/>
      <c r="B68" s="364" t="s">
        <v>143</v>
      </c>
      <c r="C68" s="364"/>
      <c r="D68" s="364"/>
      <c r="E68" s="364"/>
      <c r="F68" s="364"/>
      <c r="G68" s="45"/>
      <c r="H68" s="45"/>
      <c r="I68" s="45"/>
      <c r="J68" s="45"/>
      <c r="K68" s="45"/>
      <c r="L68" s="45"/>
      <c r="M68" s="45"/>
      <c r="N68" s="45"/>
      <c r="O68" s="221"/>
    </row>
    <row r="69" spans="1:15" ht="42" customHeight="1" x14ac:dyDescent="0.3">
      <c r="A69" s="3"/>
      <c r="B69" s="364" t="s">
        <v>755</v>
      </c>
      <c r="C69" s="364"/>
      <c r="D69" s="364"/>
      <c r="E69" s="364"/>
      <c r="F69" s="364"/>
      <c r="G69" s="45"/>
      <c r="H69" s="45"/>
      <c r="I69" s="45"/>
      <c r="J69" s="45"/>
      <c r="K69" s="45"/>
      <c r="L69" s="45"/>
      <c r="M69" s="45"/>
      <c r="N69" s="45"/>
      <c r="O69" s="221"/>
    </row>
    <row r="70" spans="1:15" x14ac:dyDescent="0.3">
      <c r="A70" s="3"/>
      <c r="B70" s="327" t="s">
        <v>71</v>
      </c>
      <c r="C70" s="338"/>
      <c r="D70" s="338"/>
      <c r="E70" s="338"/>
      <c r="F70" s="339"/>
      <c r="G70" s="45"/>
      <c r="H70" s="45"/>
      <c r="I70" s="45"/>
      <c r="J70" s="45"/>
      <c r="K70" s="45"/>
      <c r="L70" s="45"/>
      <c r="M70" s="45"/>
      <c r="N70" s="45"/>
      <c r="O70" s="221"/>
    </row>
    <row r="71" spans="1:15" x14ac:dyDescent="0.3">
      <c r="A71" s="3"/>
      <c r="B71" s="46"/>
      <c r="C71" s="46"/>
      <c r="D71" s="46"/>
      <c r="E71" s="46"/>
      <c r="F71" s="46"/>
      <c r="G71" s="13"/>
      <c r="H71" s="13"/>
      <c r="I71" s="13"/>
      <c r="J71" s="13"/>
      <c r="K71" s="13"/>
      <c r="L71" s="13"/>
      <c r="M71" s="13"/>
      <c r="N71" s="13"/>
      <c r="O71" s="13"/>
    </row>
    <row r="72" spans="1:15" ht="46.95" customHeight="1" x14ac:dyDescent="0.3">
      <c r="A72" s="9">
        <v>13</v>
      </c>
      <c r="B72" s="365" t="s">
        <v>51</v>
      </c>
      <c r="C72" s="366"/>
      <c r="D72" s="366"/>
      <c r="E72" s="366"/>
      <c r="F72" s="366"/>
      <c r="G72" s="343"/>
      <c r="H72" s="11"/>
      <c r="I72" s="11"/>
      <c r="J72" s="11"/>
      <c r="K72" s="11"/>
      <c r="L72" s="11"/>
      <c r="M72" s="11"/>
      <c r="N72" s="11"/>
      <c r="O72" s="11"/>
    </row>
    <row r="73" spans="1:15" x14ac:dyDescent="0.3">
      <c r="A73" s="9"/>
      <c r="C73" s="15"/>
      <c r="D73" s="15"/>
      <c r="E73" s="15"/>
      <c r="F73" s="15"/>
      <c r="G73" s="15"/>
      <c r="H73" s="15"/>
      <c r="I73" s="15"/>
      <c r="J73" s="15"/>
      <c r="K73" s="15"/>
      <c r="L73" s="15"/>
      <c r="M73" s="15"/>
      <c r="N73" s="15"/>
      <c r="O73" s="15"/>
    </row>
    <row r="74" spans="1:15" ht="100.5" customHeight="1" x14ac:dyDescent="0.3">
      <c r="A74" s="3"/>
      <c r="B74" s="47" t="s">
        <v>52</v>
      </c>
      <c r="C74" s="18" t="s">
        <v>53</v>
      </c>
      <c r="D74" s="18" t="s">
        <v>80</v>
      </c>
      <c r="E74" s="18" t="s">
        <v>54</v>
      </c>
      <c r="F74" s="18" t="s">
        <v>55</v>
      </c>
      <c r="G74" s="18" t="s">
        <v>56</v>
      </c>
      <c r="H74" s="13"/>
      <c r="I74" s="13"/>
      <c r="J74" s="13"/>
      <c r="K74" s="13"/>
      <c r="L74" s="13"/>
      <c r="M74" s="13"/>
      <c r="N74" s="13"/>
      <c r="O74" s="13"/>
    </row>
    <row r="75" spans="1:15" ht="20.25" customHeight="1" x14ac:dyDescent="0.4">
      <c r="A75" s="3"/>
      <c r="B75" s="315" t="s">
        <v>72</v>
      </c>
      <c r="C75" s="4" t="s">
        <v>146</v>
      </c>
      <c r="D75" s="48">
        <v>0.46</v>
      </c>
      <c r="E75" s="48">
        <v>2.39</v>
      </c>
      <c r="F75" s="88">
        <v>20.95</v>
      </c>
      <c r="G75" s="88">
        <v>7.44</v>
      </c>
      <c r="H75" s="49"/>
      <c r="I75" s="49"/>
      <c r="J75" s="49"/>
      <c r="K75" s="49"/>
      <c r="L75" s="49"/>
      <c r="M75" s="49"/>
      <c r="N75" s="49"/>
      <c r="O75" s="49"/>
    </row>
    <row r="76" spans="1:15" x14ac:dyDescent="0.3">
      <c r="A76" s="3"/>
      <c r="B76" s="315"/>
      <c r="C76" s="4" t="s">
        <v>57</v>
      </c>
      <c r="D76" s="50"/>
      <c r="E76" s="50"/>
      <c r="F76" s="88"/>
      <c r="G76" s="88"/>
      <c r="H76" s="49"/>
      <c r="I76" s="49"/>
      <c r="J76" s="49"/>
      <c r="K76" s="49"/>
      <c r="L76" s="49"/>
      <c r="M76" s="49"/>
      <c r="N76" s="49"/>
      <c r="O76" s="49"/>
    </row>
    <row r="77" spans="1:15" x14ac:dyDescent="0.3">
      <c r="A77" s="3"/>
      <c r="B77" s="315"/>
      <c r="C77" s="51" t="s">
        <v>144</v>
      </c>
      <c r="D77" s="50">
        <v>1.26</v>
      </c>
      <c r="E77" s="50">
        <v>1.72</v>
      </c>
      <c r="F77" s="88">
        <v>1.59</v>
      </c>
      <c r="G77" s="88">
        <v>1.76</v>
      </c>
      <c r="H77" s="49"/>
      <c r="I77" s="49"/>
      <c r="J77" s="49"/>
      <c r="K77" s="49"/>
      <c r="L77" s="49"/>
      <c r="M77" s="49"/>
      <c r="N77" s="49"/>
      <c r="O77" s="49"/>
    </row>
    <row r="78" spans="1:15" x14ac:dyDescent="0.3">
      <c r="A78" s="3"/>
      <c r="B78" s="315"/>
      <c r="C78" s="51" t="s">
        <v>145</v>
      </c>
      <c r="D78" s="50">
        <v>0.44</v>
      </c>
      <c r="E78" s="50">
        <v>1.3</v>
      </c>
      <c r="F78" s="88">
        <v>1.44</v>
      </c>
      <c r="G78" s="88">
        <v>1.48</v>
      </c>
      <c r="H78" s="49"/>
      <c r="I78" s="49"/>
      <c r="J78" s="49"/>
      <c r="K78" s="49"/>
      <c r="L78" s="49"/>
      <c r="M78" s="49"/>
      <c r="N78" s="49"/>
      <c r="O78" s="49"/>
    </row>
    <row r="79" spans="1:15" x14ac:dyDescent="0.3">
      <c r="A79" s="3"/>
      <c r="B79" s="315"/>
      <c r="C79" s="51" t="s">
        <v>167</v>
      </c>
      <c r="D79" s="50">
        <v>1.01</v>
      </c>
      <c r="E79" s="50">
        <v>10.16</v>
      </c>
      <c r="F79" s="129">
        <v>16.03</v>
      </c>
      <c r="G79" s="88">
        <v>27.76</v>
      </c>
      <c r="H79" s="49"/>
      <c r="I79" s="49"/>
      <c r="J79" s="49"/>
      <c r="K79" s="49"/>
      <c r="L79" s="49"/>
      <c r="M79" s="49"/>
      <c r="N79" s="49"/>
      <c r="O79" s="49"/>
    </row>
    <row r="80" spans="1:15" x14ac:dyDescent="0.3">
      <c r="A80" s="3"/>
      <c r="B80" s="315"/>
      <c r="C80" s="51" t="s">
        <v>168</v>
      </c>
      <c r="D80" s="50">
        <v>20.329999999999998</v>
      </c>
      <c r="E80" s="50">
        <v>52.38</v>
      </c>
      <c r="F80" s="88">
        <v>52.99</v>
      </c>
      <c r="G80" s="88">
        <v>61.21</v>
      </c>
      <c r="H80" s="49"/>
      <c r="I80" s="49"/>
      <c r="J80" s="49"/>
      <c r="K80" s="49"/>
      <c r="L80" s="49"/>
      <c r="M80" s="49"/>
      <c r="N80" s="49"/>
      <c r="O80" s="49"/>
    </row>
    <row r="81" spans="1:18" x14ac:dyDescent="0.3">
      <c r="A81" s="3"/>
      <c r="B81" s="315"/>
      <c r="C81" s="51" t="s">
        <v>169</v>
      </c>
      <c r="D81" s="50">
        <v>-7.49</v>
      </c>
      <c r="E81" s="50">
        <v>20.55</v>
      </c>
      <c r="F81" s="88">
        <v>26.09</v>
      </c>
      <c r="G81" s="88">
        <v>49.02</v>
      </c>
      <c r="H81" s="49"/>
      <c r="I81" s="49"/>
      <c r="J81" s="49"/>
      <c r="K81" s="49"/>
      <c r="L81" s="49"/>
      <c r="M81" s="49"/>
      <c r="N81" s="49"/>
      <c r="O81" s="49"/>
    </row>
    <row r="82" spans="1:18" ht="21.6" customHeight="1" x14ac:dyDescent="0.3">
      <c r="A82" s="3"/>
      <c r="B82" s="315"/>
      <c r="C82" s="4" t="s">
        <v>58</v>
      </c>
      <c r="D82" s="94">
        <f>AVERAGE(D77:D81)</f>
        <v>3.11</v>
      </c>
      <c r="E82" s="94">
        <f>-AVERAGE(E77:E81)</f>
        <v>-17.222000000000001</v>
      </c>
      <c r="F82" s="116">
        <v>19.62</v>
      </c>
      <c r="G82" s="88">
        <f>AVERAGE(G77:G81)</f>
        <v>28.246000000000002</v>
      </c>
      <c r="K82" s="49"/>
      <c r="L82" s="49"/>
      <c r="M82" s="49"/>
      <c r="N82" s="49"/>
      <c r="O82" s="49"/>
      <c r="P82" s="49" t="s">
        <v>635</v>
      </c>
      <c r="Q82" s="49"/>
      <c r="R82" s="49"/>
    </row>
    <row r="83" spans="1:18" x14ac:dyDescent="0.4">
      <c r="A83" s="3"/>
      <c r="B83" s="315" t="s">
        <v>59</v>
      </c>
      <c r="C83" s="4" t="s">
        <v>146</v>
      </c>
      <c r="D83" s="50">
        <v>348</v>
      </c>
      <c r="E83" s="48">
        <v>59.74</v>
      </c>
      <c r="F83" s="88">
        <v>23.91</v>
      </c>
      <c r="G83" s="90">
        <f>P83/G75</f>
        <v>81.263440860215056</v>
      </c>
      <c r="K83" s="49"/>
      <c r="L83" s="49"/>
      <c r="M83" s="49"/>
      <c r="N83" s="49"/>
      <c r="O83" s="49"/>
      <c r="P83" s="49">
        <v>604.6</v>
      </c>
      <c r="Q83" s="49"/>
      <c r="R83" s="49"/>
    </row>
    <row r="84" spans="1:18" x14ac:dyDescent="0.3">
      <c r="A84" s="3"/>
      <c r="B84" s="315"/>
      <c r="C84" s="4" t="s">
        <v>57</v>
      </c>
      <c r="D84" s="5"/>
      <c r="E84" s="5"/>
      <c r="F84" s="88"/>
      <c r="G84" s="88"/>
      <c r="K84" s="49"/>
      <c r="L84" s="49"/>
      <c r="M84" s="49"/>
      <c r="N84" s="49"/>
      <c r="O84" s="49"/>
      <c r="P84" s="49"/>
      <c r="Q84" s="49"/>
      <c r="R84" s="49"/>
    </row>
    <row r="85" spans="1:18" x14ac:dyDescent="0.3">
      <c r="A85" s="3"/>
      <c r="B85" s="315"/>
      <c r="C85" s="51" t="s">
        <v>144</v>
      </c>
      <c r="D85" s="50">
        <v>17.46</v>
      </c>
      <c r="E85" s="50">
        <v>11.52</v>
      </c>
      <c r="F85" s="88">
        <v>22.69</v>
      </c>
      <c r="G85" s="90">
        <f>P85/G77</f>
        <v>18.755681818181817</v>
      </c>
      <c r="K85" s="49"/>
      <c r="L85" s="49"/>
      <c r="M85" s="49"/>
      <c r="N85" s="49"/>
      <c r="O85" s="49"/>
      <c r="P85" s="49">
        <v>33.01</v>
      </c>
      <c r="Q85" s="49"/>
      <c r="R85" s="49"/>
    </row>
    <row r="86" spans="1:18" x14ac:dyDescent="0.3">
      <c r="A86" s="3"/>
      <c r="B86" s="315"/>
      <c r="C86" s="51" t="s">
        <v>145</v>
      </c>
      <c r="D86" s="50">
        <v>31.91</v>
      </c>
      <c r="E86" s="50">
        <v>16.47</v>
      </c>
      <c r="F86" s="88">
        <v>19.190000000000001</v>
      </c>
      <c r="G86" s="90">
        <f>P86/G78</f>
        <v>33.108108108108105</v>
      </c>
      <c r="K86" s="49"/>
      <c r="L86" s="49"/>
      <c r="M86" s="49"/>
      <c r="N86" s="49"/>
      <c r="O86" s="49"/>
      <c r="P86" s="49">
        <v>49</v>
      </c>
      <c r="Q86" s="49"/>
      <c r="R86" s="49"/>
    </row>
    <row r="87" spans="1:18" x14ac:dyDescent="0.3">
      <c r="A87" s="3"/>
      <c r="B87" s="315"/>
      <c r="C87" s="51" t="s">
        <v>167</v>
      </c>
      <c r="D87" s="50">
        <v>1003.17</v>
      </c>
      <c r="E87" s="50">
        <v>91.59</v>
      </c>
      <c r="F87" s="88">
        <v>70.72</v>
      </c>
      <c r="G87" s="90">
        <f>P87/G79</f>
        <v>43.110590778097979</v>
      </c>
      <c r="K87" s="49"/>
      <c r="L87" s="49"/>
      <c r="M87" s="49"/>
      <c r="N87" s="49"/>
      <c r="O87" s="49"/>
      <c r="P87" s="169">
        <v>1196.75</v>
      </c>
      <c r="Q87" s="49"/>
      <c r="R87" s="49"/>
    </row>
    <row r="88" spans="1:18" x14ac:dyDescent="0.3">
      <c r="A88" s="3"/>
      <c r="B88" s="315"/>
      <c r="C88" s="51" t="s">
        <v>168</v>
      </c>
      <c r="D88" s="50">
        <v>37.24</v>
      </c>
      <c r="E88" s="50">
        <v>16.09</v>
      </c>
      <c r="F88" s="88">
        <v>27.8</v>
      </c>
      <c r="G88" s="90">
        <f>P88/G80</f>
        <v>26.726842019277896</v>
      </c>
      <c r="K88" s="49"/>
      <c r="L88" s="49"/>
      <c r="M88" s="49"/>
      <c r="N88" s="49"/>
      <c r="O88" s="49"/>
      <c r="P88" s="169">
        <v>1635.95</v>
      </c>
      <c r="Q88" s="49"/>
      <c r="R88" s="49"/>
    </row>
    <row r="89" spans="1:18" x14ac:dyDescent="0.3">
      <c r="A89" s="3"/>
      <c r="B89" s="315"/>
      <c r="C89" s="51" t="s">
        <v>169</v>
      </c>
      <c r="D89" s="50">
        <v>-156.21</v>
      </c>
      <c r="E89" s="50">
        <v>50.14</v>
      </c>
      <c r="F89" s="88">
        <v>88.11</v>
      </c>
      <c r="G89" s="90">
        <f>P89/G81</f>
        <v>43.39759281925744</v>
      </c>
      <c r="K89" s="49"/>
      <c r="L89" s="49"/>
      <c r="M89" s="49"/>
      <c r="N89" s="49"/>
      <c r="O89" s="49"/>
      <c r="P89" s="169">
        <v>2127.35</v>
      </c>
      <c r="Q89" s="49"/>
      <c r="R89" s="49"/>
    </row>
    <row r="90" spans="1:18" ht="22.8" customHeight="1" x14ac:dyDescent="0.3">
      <c r="A90" s="3"/>
      <c r="B90" s="315"/>
      <c r="C90" s="4" t="s">
        <v>58</v>
      </c>
      <c r="D90" s="94">
        <f>AVERAGE(D85:D89)</f>
        <v>186.714</v>
      </c>
      <c r="E90" s="94">
        <f>AVERAGE(E85:E89)</f>
        <v>37.161999999999999</v>
      </c>
      <c r="F90" s="116">
        <v>45.7</v>
      </c>
      <c r="G90" s="157">
        <f>AVERAGE(G85:G89)</f>
        <v>33.019763108584648</v>
      </c>
      <c r="K90" s="49"/>
      <c r="L90" s="49"/>
      <c r="M90" s="49"/>
      <c r="N90" s="49"/>
      <c r="O90" s="49"/>
      <c r="P90" s="170" t="s">
        <v>634</v>
      </c>
      <c r="Q90" s="49" t="s">
        <v>637</v>
      </c>
      <c r="R90" s="49" t="s">
        <v>647</v>
      </c>
    </row>
    <row r="91" spans="1:18" x14ac:dyDescent="0.4">
      <c r="A91" s="3"/>
      <c r="B91" s="315" t="s">
        <v>60</v>
      </c>
      <c r="C91" s="4" t="s">
        <v>638</v>
      </c>
      <c r="D91" s="95">
        <v>-1.52E-2</v>
      </c>
      <c r="E91" s="48">
        <v>4.09</v>
      </c>
      <c r="F91" s="110">
        <v>0.34439999999999998</v>
      </c>
      <c r="G91" s="110">
        <f>P91/Q91</f>
        <v>0.3872336600589904</v>
      </c>
      <c r="K91" s="49"/>
      <c r="L91" s="49"/>
      <c r="M91" s="49"/>
      <c r="N91" s="49"/>
      <c r="O91" s="49"/>
      <c r="P91" s="169">
        <v>1852.46</v>
      </c>
      <c r="Q91" s="49">
        <v>4783.83</v>
      </c>
      <c r="R91" s="49">
        <v>478383000</v>
      </c>
    </row>
    <row r="92" spans="1:18" x14ac:dyDescent="0.3">
      <c r="A92" s="3"/>
      <c r="B92" s="315"/>
      <c r="C92" s="4" t="s">
        <v>57</v>
      </c>
      <c r="D92" s="50"/>
      <c r="E92" s="50"/>
      <c r="F92" s="88"/>
      <c r="G92" s="88"/>
      <c r="K92" s="49"/>
      <c r="L92" s="49"/>
      <c r="M92" s="49"/>
      <c r="N92" s="49"/>
      <c r="O92" s="49"/>
      <c r="P92" s="49"/>
      <c r="Q92" s="49"/>
      <c r="R92" s="49"/>
    </row>
    <row r="93" spans="1:18" x14ac:dyDescent="0.3">
      <c r="A93" s="3"/>
      <c r="B93" s="315"/>
      <c r="C93" s="51" t="s">
        <v>639</v>
      </c>
      <c r="D93" s="96">
        <v>5.0799999999999998E-2</v>
      </c>
      <c r="E93" s="96">
        <v>6.25E-2</v>
      </c>
      <c r="F93" s="110">
        <v>5.4399999999999997E-2</v>
      </c>
      <c r="G93" s="110">
        <f>P93/Q93</f>
        <v>5.6856766682835562E-2</v>
      </c>
      <c r="K93" s="49"/>
      <c r="L93" s="49"/>
      <c r="M93" s="49"/>
      <c r="N93" s="49"/>
      <c r="O93" s="49"/>
      <c r="P93" s="49">
        <v>492.3</v>
      </c>
      <c r="Q93" s="49">
        <v>8658.6</v>
      </c>
      <c r="R93" s="49">
        <v>865860000</v>
      </c>
    </row>
    <row r="94" spans="1:18" x14ac:dyDescent="0.3">
      <c r="A94" s="3"/>
      <c r="B94" s="315"/>
      <c r="C94" s="51" t="s">
        <v>145</v>
      </c>
      <c r="D94" s="96">
        <v>3.6600000000000001E-2</v>
      </c>
      <c r="E94" s="96">
        <v>9.2700000000000005E-2</v>
      </c>
      <c r="F94" s="110">
        <v>9.4E-2</v>
      </c>
      <c r="G94" s="110">
        <f>P94/Q94</f>
        <v>7.1865500341212238E-2</v>
      </c>
      <c r="K94" s="49"/>
      <c r="L94" s="49"/>
      <c r="M94" s="49"/>
      <c r="N94" s="49"/>
      <c r="O94" s="49"/>
      <c r="P94" s="49">
        <v>115.84</v>
      </c>
      <c r="Q94" s="49">
        <v>1611.9</v>
      </c>
      <c r="R94" s="49">
        <v>161190000</v>
      </c>
    </row>
    <row r="95" spans="1:18" x14ac:dyDescent="0.3">
      <c r="A95" s="3"/>
      <c r="B95" s="315"/>
      <c r="C95" s="51" t="s">
        <v>167</v>
      </c>
      <c r="D95" s="96">
        <v>1.04E-2</v>
      </c>
      <c r="E95" s="96">
        <v>10.1601</v>
      </c>
      <c r="F95" s="110">
        <v>8.8900000000000007E-2</v>
      </c>
      <c r="G95" s="110">
        <f>P95/Q95</f>
        <v>0.13665731447087648</v>
      </c>
      <c r="K95" s="49"/>
      <c r="L95" s="49"/>
      <c r="M95" s="49"/>
      <c r="N95" s="49"/>
      <c r="O95" s="49"/>
      <c r="P95" s="171">
        <v>276660</v>
      </c>
      <c r="Q95" s="49">
        <v>2024480</v>
      </c>
      <c r="R95" s="49">
        <v>202448000000</v>
      </c>
    </row>
    <row r="96" spans="1:18" x14ac:dyDescent="0.3">
      <c r="A96" s="3"/>
      <c r="B96" s="315"/>
      <c r="C96" s="51" t="s">
        <v>168</v>
      </c>
      <c r="D96" s="96">
        <v>7.8899999999999998E-2</v>
      </c>
      <c r="E96" s="96">
        <v>52.38</v>
      </c>
      <c r="F96" s="110">
        <v>0.1391</v>
      </c>
      <c r="G96" s="110">
        <f>P96/Q96</f>
        <v>0.14170827265682556</v>
      </c>
      <c r="K96" s="49"/>
      <c r="L96" s="49"/>
      <c r="M96" s="49"/>
      <c r="N96" s="49"/>
      <c r="O96" s="49"/>
      <c r="P96" s="49">
        <v>222551</v>
      </c>
      <c r="Q96" s="49">
        <v>1570487</v>
      </c>
      <c r="R96" s="49">
        <v>157048700000</v>
      </c>
    </row>
    <row r="97" spans="1:18" x14ac:dyDescent="0.3">
      <c r="A97" s="3"/>
      <c r="B97" s="315"/>
      <c r="C97" s="51" t="s">
        <v>169</v>
      </c>
      <c r="D97" s="96">
        <v>-2.2800000000000001E-2</v>
      </c>
      <c r="E97" s="96">
        <v>20.552</v>
      </c>
      <c r="F97" s="110">
        <v>7.4700000000000003E-2</v>
      </c>
      <c r="G97" s="110">
        <f>P97/Q97</f>
        <v>7.9051516098176081E-2</v>
      </c>
      <c r="K97" s="49"/>
      <c r="L97" s="49"/>
      <c r="M97" s="49"/>
      <c r="N97" s="49"/>
      <c r="O97" s="49"/>
      <c r="P97" s="169">
        <v>138923</v>
      </c>
      <c r="Q97" s="169">
        <v>1757373</v>
      </c>
      <c r="R97" s="169">
        <v>175737300000</v>
      </c>
    </row>
    <row r="98" spans="1:18" ht="25.2" customHeight="1" x14ac:dyDescent="0.3">
      <c r="A98" s="3"/>
      <c r="B98" s="315"/>
      <c r="C98" s="4" t="s">
        <v>58</v>
      </c>
      <c r="D98" s="97">
        <f>AVERAGE(D93:D97)</f>
        <v>3.0779999999999995E-2</v>
      </c>
      <c r="E98" s="98">
        <f>AVERAGE(E94:E97)</f>
        <v>20.796199999999999</v>
      </c>
      <c r="F98" s="131">
        <v>9.0200000000000002E-2</v>
      </c>
      <c r="G98" s="131">
        <f>AVERAGE(G93:G97)</f>
        <v>9.7227874049985175E-2</v>
      </c>
      <c r="K98" s="49"/>
      <c r="L98" s="49"/>
      <c r="M98" s="49"/>
      <c r="N98" s="49"/>
      <c r="O98" s="49"/>
      <c r="P98" s="170" t="s">
        <v>640</v>
      </c>
      <c r="Q98" s="49"/>
      <c r="R98" s="49"/>
    </row>
    <row r="99" spans="1:18" x14ac:dyDescent="0.4">
      <c r="A99" s="3"/>
      <c r="B99" s="315" t="s">
        <v>61</v>
      </c>
      <c r="C99" s="4" t="s">
        <v>146</v>
      </c>
      <c r="D99" s="48">
        <v>-30.14</v>
      </c>
      <c r="E99" s="48">
        <v>58.57</v>
      </c>
      <c r="F99" s="88">
        <v>11.83</v>
      </c>
      <c r="G99" s="90">
        <f>R91/P99</f>
        <v>19.357701272215209</v>
      </c>
      <c r="K99" s="49"/>
      <c r="L99" s="49"/>
      <c r="M99" s="49"/>
      <c r="N99" s="49"/>
      <c r="O99" s="49"/>
      <c r="P99" s="49">
        <v>24712800</v>
      </c>
      <c r="Q99" s="49"/>
      <c r="R99" s="49"/>
    </row>
    <row r="100" spans="1:18" x14ac:dyDescent="0.3">
      <c r="A100" s="3"/>
      <c r="B100" s="315"/>
      <c r="C100" s="4" t="s">
        <v>57</v>
      </c>
      <c r="D100" s="50"/>
      <c r="E100" s="50"/>
      <c r="F100" s="88"/>
      <c r="G100" s="90"/>
      <c r="K100" s="49"/>
      <c r="L100" s="49"/>
      <c r="M100" s="49"/>
      <c r="N100" s="49"/>
      <c r="O100" s="49"/>
      <c r="P100" s="49"/>
      <c r="Q100" s="49"/>
      <c r="R100" s="49"/>
    </row>
    <row r="101" spans="1:18" x14ac:dyDescent="0.3">
      <c r="A101" s="3"/>
      <c r="B101" s="315"/>
      <c r="C101" s="51" t="s">
        <v>144</v>
      </c>
      <c r="D101" s="50">
        <v>24.86</v>
      </c>
      <c r="E101" s="50">
        <v>27.576357142857145</v>
      </c>
      <c r="F101" s="88">
        <v>29.16</v>
      </c>
      <c r="G101" s="90">
        <f>R93/P101</f>
        <v>30.923571428571428</v>
      </c>
      <c r="K101" s="49"/>
      <c r="L101" s="49"/>
      <c r="M101" s="49"/>
      <c r="N101" s="49"/>
      <c r="O101" s="49"/>
      <c r="P101" s="49">
        <v>28000000</v>
      </c>
      <c r="Q101" s="49"/>
      <c r="R101" s="49"/>
    </row>
    <row r="102" spans="1:18" x14ac:dyDescent="0.3">
      <c r="A102" s="3"/>
      <c r="B102" s="315"/>
      <c r="C102" s="51" t="s">
        <v>145</v>
      </c>
      <c r="D102" s="50">
        <v>12.14</v>
      </c>
      <c r="E102" s="50">
        <v>13.982133806386214</v>
      </c>
      <c r="F102" s="88">
        <v>15.22</v>
      </c>
      <c r="G102" s="90">
        <f>R94/P102</f>
        <v>20.423968075813608</v>
      </c>
      <c r="K102" s="49"/>
      <c r="L102" s="49"/>
      <c r="M102" s="49"/>
      <c r="N102" s="49"/>
      <c r="O102" s="49"/>
      <c r="P102" s="49">
        <v>7892198</v>
      </c>
      <c r="Q102" s="49"/>
      <c r="R102" s="49"/>
    </row>
    <row r="103" spans="1:18" x14ac:dyDescent="0.3">
      <c r="A103" s="3"/>
      <c r="B103" s="315"/>
      <c r="C103" s="51" t="s">
        <v>167</v>
      </c>
      <c r="D103" s="50">
        <v>102.81</v>
      </c>
      <c r="E103" s="50">
        <v>262.82514300895826</v>
      </c>
      <c r="F103" s="88">
        <v>17.559999999999999</v>
      </c>
      <c r="G103" s="90">
        <f>R95/P103</f>
        <v>202.94137870047248</v>
      </c>
      <c r="K103" s="49"/>
      <c r="L103" s="49"/>
      <c r="M103" s="49"/>
      <c r="N103" s="49"/>
      <c r="O103" s="49"/>
      <c r="P103" s="49">
        <v>997568861</v>
      </c>
      <c r="Q103" s="49"/>
      <c r="R103" s="49"/>
    </row>
    <row r="104" spans="1:18" x14ac:dyDescent="0.3">
      <c r="A104" s="3"/>
      <c r="B104" s="315"/>
      <c r="C104" s="51" t="s">
        <v>168</v>
      </c>
      <c r="D104" s="50">
        <v>257.68</v>
      </c>
      <c r="E104" s="50">
        <v>335.81002854769775</v>
      </c>
      <c r="F104" s="88">
        <v>380.75</v>
      </c>
      <c r="G104" s="90">
        <f>R96/P104</f>
        <v>431.92446035473648</v>
      </c>
      <c r="K104" s="49"/>
      <c r="L104" s="49"/>
      <c r="M104" s="49"/>
      <c r="N104" s="49"/>
      <c r="O104" s="49"/>
      <c r="P104" s="49">
        <v>363602237</v>
      </c>
      <c r="Q104" s="49"/>
      <c r="R104" s="49"/>
    </row>
    <row r="105" spans="1:18" x14ac:dyDescent="0.3">
      <c r="A105" s="3"/>
      <c r="B105" s="315"/>
      <c r="C105" s="51" t="s">
        <v>169</v>
      </c>
      <c r="D105" s="50">
        <v>299.32</v>
      </c>
      <c r="E105" s="50">
        <v>333.2194330644088</v>
      </c>
      <c r="F105" s="88">
        <v>3.59</v>
      </c>
      <c r="G105" s="90">
        <f>R97/P105</f>
        <v>583.48646574480415</v>
      </c>
      <c r="K105" s="49"/>
      <c r="L105" s="49"/>
      <c r="M105" s="49"/>
      <c r="N105" s="49"/>
      <c r="O105" s="49"/>
      <c r="P105" s="49">
        <v>301184878</v>
      </c>
      <c r="Q105" s="49"/>
      <c r="R105" s="49"/>
    </row>
    <row r="106" spans="1:18" x14ac:dyDescent="0.3">
      <c r="A106" s="3"/>
      <c r="B106" s="315"/>
      <c r="C106" s="4" t="s">
        <v>58</v>
      </c>
      <c r="D106" s="94">
        <f>AVERAGE(D101:D105)</f>
        <v>139.36199999999999</v>
      </c>
      <c r="E106" s="94">
        <f>AVERAGE(E101:E105)</f>
        <v>194.68261911406165</v>
      </c>
      <c r="F106" s="116">
        <v>89.25</v>
      </c>
      <c r="G106" s="157">
        <f>AVERAGE(G101:G105)</f>
        <v>253.93996886087962</v>
      </c>
      <c r="H106" s="49"/>
      <c r="I106" s="49"/>
      <c r="J106" s="49"/>
      <c r="K106" s="49"/>
      <c r="L106" s="49"/>
      <c r="M106" s="49"/>
      <c r="N106" s="49"/>
      <c r="O106" s="49"/>
    </row>
    <row r="107" spans="1:18" x14ac:dyDescent="0.3">
      <c r="A107" s="3"/>
      <c r="B107" s="319" t="s">
        <v>210</v>
      </c>
      <c r="C107" s="320"/>
      <c r="D107" s="320"/>
      <c r="E107" s="320"/>
      <c r="F107" s="320"/>
      <c r="G107" s="321"/>
      <c r="H107" s="49"/>
      <c r="I107" s="49"/>
      <c r="J107" s="49"/>
      <c r="K107" s="49"/>
      <c r="L107" s="49"/>
      <c r="M107" s="49"/>
      <c r="N107" s="49"/>
      <c r="O107" s="49"/>
    </row>
    <row r="108" spans="1:18" x14ac:dyDescent="0.3">
      <c r="A108" s="3"/>
      <c r="B108" s="322" t="s">
        <v>62</v>
      </c>
      <c r="C108" s="323"/>
      <c r="D108" s="323"/>
      <c r="E108" s="323"/>
      <c r="F108" s="323"/>
      <c r="G108" s="324"/>
      <c r="H108" s="49"/>
      <c r="I108" s="49"/>
      <c r="J108" s="49"/>
      <c r="K108" s="49"/>
      <c r="L108" s="49"/>
      <c r="M108" s="49"/>
      <c r="N108" s="49"/>
      <c r="O108" s="49"/>
    </row>
    <row r="109" spans="1:18" ht="29.25" customHeight="1" x14ac:dyDescent="0.3">
      <c r="A109" s="3"/>
      <c r="B109" s="327" t="s">
        <v>756</v>
      </c>
      <c r="C109" s="338"/>
      <c r="D109" s="338"/>
      <c r="E109" s="338"/>
      <c r="F109" s="338"/>
      <c r="G109" s="339"/>
      <c r="H109" s="49"/>
      <c r="I109" s="49"/>
      <c r="J109" s="49"/>
      <c r="K109" s="49"/>
      <c r="L109" s="49"/>
      <c r="M109" s="49"/>
      <c r="N109" s="49"/>
      <c r="O109" s="49"/>
    </row>
    <row r="110" spans="1:18" x14ac:dyDescent="0.3">
      <c r="C110" s="306"/>
      <c r="D110" s="306"/>
      <c r="E110" s="306"/>
      <c r="F110" s="306"/>
      <c r="G110" s="306"/>
      <c r="H110" s="49"/>
      <c r="I110" s="49"/>
    </row>
    <row r="111" spans="1:18" x14ac:dyDescent="0.3">
      <c r="A111" s="9">
        <v>14</v>
      </c>
      <c r="B111" s="54" t="s">
        <v>63</v>
      </c>
      <c r="C111" s="247"/>
      <c r="D111" s="248"/>
      <c r="E111" s="248"/>
      <c r="F111" s="248"/>
      <c r="G111" s="362"/>
    </row>
    <row r="112" spans="1:18" ht="12.75" customHeight="1" x14ac:dyDescent="0.3">
      <c r="C112" s="55"/>
      <c r="D112" s="55"/>
      <c r="E112" s="55"/>
      <c r="F112" s="55"/>
      <c r="G112" s="55"/>
    </row>
    <row r="114" spans="2:8" x14ac:dyDescent="0.3">
      <c r="B114" s="299" t="s">
        <v>147</v>
      </c>
      <c r="C114" s="312"/>
      <c r="D114" s="312"/>
      <c r="E114" s="312"/>
      <c r="F114" s="312"/>
      <c r="G114" s="312"/>
      <c r="H114" s="312"/>
    </row>
    <row r="119" spans="2:8" x14ac:dyDescent="0.3">
      <c r="D119" s="56"/>
      <c r="E119" s="56"/>
    </row>
    <row r="120" spans="2:8" x14ac:dyDescent="0.3">
      <c r="E120" s="56"/>
    </row>
  </sheetData>
  <mergeCells count="54">
    <mergeCell ref="C110:G110"/>
    <mergeCell ref="C111:G111"/>
    <mergeCell ref="B114:H114"/>
    <mergeCell ref="B83:B90"/>
    <mergeCell ref="B99:B106"/>
    <mergeCell ref="B107:G107"/>
    <mergeCell ref="B108:G108"/>
    <mergeCell ref="B91:B98"/>
    <mergeCell ref="B109:G109"/>
    <mergeCell ref="B68:F68"/>
    <mergeCell ref="B69:F69"/>
    <mergeCell ref="B70:F70"/>
    <mergeCell ref="B72:G72"/>
    <mergeCell ref="B75:B82"/>
    <mergeCell ref="L63:N63"/>
    <mergeCell ref="B67:N67"/>
    <mergeCell ref="B63:B64"/>
    <mergeCell ref="C63:C64"/>
    <mergeCell ref="D63:D64"/>
    <mergeCell ref="E63:E64"/>
    <mergeCell ref="B55:E55"/>
    <mergeCell ref="C59:E59"/>
    <mergeCell ref="I63:K63"/>
    <mergeCell ref="C42:E42"/>
    <mergeCell ref="B43:E43"/>
    <mergeCell ref="B45:E45"/>
    <mergeCell ref="B50:E50"/>
    <mergeCell ref="B51:B52"/>
    <mergeCell ref="C51:E52"/>
    <mergeCell ref="B49:E49"/>
    <mergeCell ref="B48:D48"/>
    <mergeCell ref="F63:H63"/>
    <mergeCell ref="C57:E57"/>
    <mergeCell ref="B31:E31"/>
    <mergeCell ref="B33:E33"/>
    <mergeCell ref="B39:E39"/>
    <mergeCell ref="C40:E40"/>
    <mergeCell ref="C53:E53"/>
    <mergeCell ref="C41:E41"/>
    <mergeCell ref="B25:E25"/>
    <mergeCell ref="C22:E22"/>
    <mergeCell ref="B24:E24"/>
    <mergeCell ref="C21:E21"/>
    <mergeCell ref="A1:B1"/>
    <mergeCell ref="C5:E5"/>
    <mergeCell ref="B6:D6"/>
    <mergeCell ref="B9:D9"/>
    <mergeCell ref="C11:E11"/>
    <mergeCell ref="B12:D12"/>
    <mergeCell ref="B15:C15"/>
    <mergeCell ref="B17:E17"/>
    <mergeCell ref="C18:E18"/>
    <mergeCell ref="C19:E19"/>
    <mergeCell ref="C20:E20"/>
  </mergeCells>
  <pageMargins left="0.70866141732283472" right="0.11811023622047245" top="0.74803149606299213" bottom="0.74803149606299213" header="0.31496062992125984" footer="0.31496062992125984"/>
  <pageSetup paperSize="9" scale="28" fitToWidth="94" fitToHeight="2" orientation="landscape" verticalDpi="1200" r:id="rId1"/>
  <rowBreaks count="2" manualBreakCount="2">
    <brk id="37" max="16383" man="1"/>
    <brk id="71"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86275-3AA1-4C93-B967-2558DC178307}">
  <sheetPr>
    <pageSetUpPr fitToPage="1"/>
  </sheetPr>
  <dimension ref="A1:AB106"/>
  <sheetViews>
    <sheetView view="pageBreakPreview" topLeftCell="A70" zoomScale="46" zoomScaleNormal="46" zoomScaleSheetLayoutView="28" workbookViewId="0">
      <selection activeCell="E88" sqref="E88"/>
    </sheetView>
  </sheetViews>
  <sheetFormatPr defaultColWidth="8.6640625" defaultRowHeight="21" x14ac:dyDescent="0.3"/>
  <cols>
    <col min="1" max="1" width="8.77734375" style="1" bestFit="1" customWidth="1"/>
    <col min="2" max="2" width="58.33203125" style="1" customWidth="1"/>
    <col min="3" max="3" width="81" style="1" customWidth="1"/>
    <col min="4" max="4" width="73.109375" style="1" customWidth="1"/>
    <col min="5" max="5" width="30.33203125" style="1" customWidth="1"/>
    <col min="6" max="6" width="26.44140625" style="1" customWidth="1"/>
    <col min="7" max="7" width="17.5546875" style="1" customWidth="1"/>
    <col min="8" max="8" width="22.6640625" style="1" customWidth="1"/>
    <col min="9" max="9" width="18" style="1" customWidth="1"/>
    <col min="10" max="10" width="15" style="1" customWidth="1"/>
    <col min="11" max="11" width="13.44140625" style="1" customWidth="1"/>
    <col min="12" max="14" width="12.88671875" style="1" bestFit="1" customWidth="1"/>
    <col min="15" max="15" width="1.6640625" style="1" customWidth="1"/>
    <col min="16" max="16" width="8.6640625" style="1" hidden="1" customWidth="1"/>
    <col min="17" max="17" width="12.109375" style="1" hidden="1" customWidth="1"/>
    <col min="18" max="16384" width="8.6640625" style="1"/>
  </cols>
  <sheetData>
    <row r="1" spans="1:28" ht="20.25" customHeight="1" x14ac:dyDescent="0.3">
      <c r="A1" s="246" t="s">
        <v>0</v>
      </c>
      <c r="B1" s="246"/>
      <c r="D1" s="2"/>
      <c r="O1"/>
      <c r="P1"/>
      <c r="Q1"/>
      <c r="R1"/>
      <c r="S1"/>
      <c r="T1"/>
      <c r="U1"/>
      <c r="V1"/>
      <c r="W1"/>
      <c r="X1"/>
      <c r="Y1"/>
      <c r="Z1"/>
      <c r="AA1"/>
      <c r="AB1"/>
    </row>
    <row r="2" spans="1:28" x14ac:dyDescent="0.3">
      <c r="O2"/>
      <c r="P2"/>
      <c r="Q2"/>
      <c r="R2"/>
      <c r="S2"/>
      <c r="T2"/>
      <c r="U2"/>
      <c r="V2"/>
      <c r="W2"/>
      <c r="X2"/>
      <c r="Y2"/>
      <c r="Z2"/>
      <c r="AA2"/>
      <c r="AB2"/>
    </row>
    <row r="3" spans="1:28" ht="40.799999999999997" x14ac:dyDescent="0.3">
      <c r="A3" s="3" t="s">
        <v>1</v>
      </c>
      <c r="B3" s="54" t="s">
        <v>2</v>
      </c>
      <c r="C3" s="300" t="s">
        <v>401</v>
      </c>
      <c r="D3" s="300"/>
      <c r="E3" s="300"/>
      <c r="O3"/>
      <c r="P3"/>
      <c r="Q3"/>
      <c r="R3"/>
      <c r="S3"/>
      <c r="T3"/>
      <c r="U3"/>
      <c r="V3"/>
      <c r="W3"/>
      <c r="X3"/>
      <c r="Y3"/>
      <c r="Z3"/>
      <c r="AA3"/>
      <c r="AB3"/>
    </row>
    <row r="4" spans="1:28" x14ac:dyDescent="0.3">
      <c r="D4" s="22"/>
      <c r="O4"/>
      <c r="P4"/>
      <c r="Q4"/>
      <c r="R4"/>
      <c r="S4"/>
      <c r="T4"/>
      <c r="U4"/>
      <c r="V4"/>
      <c r="W4"/>
      <c r="X4"/>
      <c r="Y4"/>
      <c r="Z4"/>
      <c r="AA4"/>
      <c r="AB4"/>
    </row>
    <row r="5" spans="1:28" x14ac:dyDescent="0.3">
      <c r="A5" s="62">
        <v>1</v>
      </c>
      <c r="B5" s="63" t="s">
        <v>3</v>
      </c>
      <c r="C5" s="247" t="s">
        <v>799</v>
      </c>
      <c r="D5" s="248"/>
      <c r="E5" s="249"/>
      <c r="O5"/>
      <c r="P5"/>
      <c r="Q5"/>
      <c r="R5"/>
      <c r="S5"/>
      <c r="T5"/>
      <c r="U5"/>
      <c r="V5"/>
      <c r="W5"/>
      <c r="X5"/>
      <c r="Y5"/>
      <c r="Z5"/>
      <c r="AA5"/>
      <c r="AB5"/>
    </row>
    <row r="6" spans="1:28" x14ac:dyDescent="0.3">
      <c r="A6" s="3"/>
      <c r="B6" s="250" t="s">
        <v>4</v>
      </c>
      <c r="C6" s="251"/>
      <c r="D6" s="252"/>
      <c r="E6" s="10"/>
      <c r="O6"/>
      <c r="P6"/>
      <c r="Q6"/>
      <c r="R6"/>
      <c r="S6"/>
      <c r="T6"/>
      <c r="U6"/>
      <c r="V6"/>
      <c r="W6"/>
      <c r="X6"/>
      <c r="Y6"/>
      <c r="Z6"/>
      <c r="AA6"/>
      <c r="AB6"/>
    </row>
    <row r="7" spans="1:28" x14ac:dyDescent="0.3">
      <c r="A7" s="3"/>
      <c r="B7" s="2"/>
      <c r="D7" s="22"/>
      <c r="O7"/>
      <c r="P7"/>
      <c r="Q7"/>
      <c r="R7"/>
      <c r="S7"/>
      <c r="T7"/>
      <c r="U7"/>
      <c r="V7"/>
      <c r="W7"/>
      <c r="X7"/>
      <c r="Y7"/>
      <c r="Z7"/>
      <c r="AA7"/>
      <c r="AB7"/>
    </row>
    <row r="8" spans="1:28" x14ac:dyDescent="0.3">
      <c r="A8" s="3">
        <v>2</v>
      </c>
      <c r="B8" s="63" t="s">
        <v>5</v>
      </c>
      <c r="C8" s="12" t="s">
        <v>402</v>
      </c>
      <c r="D8" s="22"/>
      <c r="O8"/>
      <c r="P8"/>
      <c r="Q8"/>
      <c r="R8"/>
      <c r="S8"/>
      <c r="T8"/>
      <c r="U8"/>
      <c r="V8"/>
      <c r="W8"/>
      <c r="X8"/>
      <c r="Y8"/>
      <c r="Z8"/>
      <c r="AA8"/>
      <c r="AB8"/>
    </row>
    <row r="9" spans="1:28" x14ac:dyDescent="0.3">
      <c r="A9" s="3"/>
      <c r="B9" s="250" t="s">
        <v>4</v>
      </c>
      <c r="C9" s="251"/>
      <c r="D9" s="252"/>
      <c r="O9"/>
      <c r="P9"/>
      <c r="Q9"/>
      <c r="R9"/>
      <c r="S9"/>
      <c r="T9"/>
      <c r="U9"/>
      <c r="V9"/>
      <c r="W9"/>
      <c r="X9"/>
      <c r="Y9"/>
      <c r="Z9"/>
      <c r="AA9"/>
      <c r="AB9"/>
    </row>
    <row r="10" spans="1:28" x14ac:dyDescent="0.3">
      <c r="A10" s="3"/>
      <c r="B10" s="2"/>
      <c r="D10" s="22"/>
      <c r="O10"/>
      <c r="P10"/>
      <c r="Q10"/>
      <c r="R10"/>
      <c r="S10"/>
      <c r="T10"/>
      <c r="U10"/>
      <c r="V10"/>
      <c r="W10"/>
      <c r="X10"/>
      <c r="Y10"/>
      <c r="Z10"/>
      <c r="AA10"/>
      <c r="AB10"/>
    </row>
    <row r="11" spans="1:28" ht="40.950000000000003" customHeight="1" x14ac:dyDescent="0.3">
      <c r="A11" s="3">
        <v>3</v>
      </c>
      <c r="B11" s="63" t="s">
        <v>6</v>
      </c>
      <c r="C11" s="247" t="s">
        <v>90</v>
      </c>
      <c r="D11" s="248"/>
      <c r="E11" s="249"/>
      <c r="O11"/>
      <c r="P11"/>
      <c r="Q11"/>
      <c r="R11"/>
      <c r="S11"/>
      <c r="T11"/>
      <c r="U11"/>
      <c r="V11"/>
      <c r="W11"/>
      <c r="X11"/>
      <c r="Y11"/>
      <c r="Z11"/>
      <c r="AA11"/>
      <c r="AB11"/>
    </row>
    <row r="12" spans="1:28" x14ac:dyDescent="0.3">
      <c r="A12" s="3"/>
      <c r="B12" s="250" t="s">
        <v>4</v>
      </c>
      <c r="C12" s="251"/>
      <c r="D12" s="252"/>
      <c r="E12" s="10"/>
      <c r="O12"/>
      <c r="P12"/>
      <c r="Q12"/>
      <c r="R12"/>
      <c r="S12"/>
      <c r="T12"/>
      <c r="U12"/>
      <c r="V12"/>
      <c r="W12"/>
      <c r="X12"/>
      <c r="Y12"/>
      <c r="Z12"/>
      <c r="AA12"/>
      <c r="AB12"/>
    </row>
    <row r="13" spans="1:28" x14ac:dyDescent="0.3">
      <c r="A13" s="3"/>
      <c r="B13" s="2"/>
      <c r="D13" s="22"/>
      <c r="O13"/>
      <c r="P13"/>
      <c r="Q13"/>
      <c r="R13"/>
      <c r="S13"/>
      <c r="T13"/>
      <c r="U13"/>
      <c r="V13"/>
      <c r="W13"/>
      <c r="X13"/>
      <c r="Y13"/>
      <c r="Z13"/>
      <c r="AA13"/>
      <c r="AB13"/>
    </row>
    <row r="14" spans="1:28" x14ac:dyDescent="0.3">
      <c r="A14" s="3">
        <v>4</v>
      </c>
      <c r="B14" s="54" t="s">
        <v>92</v>
      </c>
      <c r="C14" s="247" t="s">
        <v>90</v>
      </c>
      <c r="D14" s="248"/>
      <c r="E14" s="249"/>
      <c r="O14"/>
      <c r="P14"/>
      <c r="Q14"/>
      <c r="R14"/>
      <c r="S14"/>
      <c r="T14"/>
      <c r="U14"/>
      <c r="V14"/>
      <c r="W14"/>
      <c r="X14"/>
      <c r="Y14"/>
      <c r="Z14"/>
      <c r="AA14"/>
      <c r="AB14"/>
    </row>
    <row r="15" spans="1:28" x14ac:dyDescent="0.3">
      <c r="A15" s="3"/>
      <c r="B15" s="250" t="s">
        <v>4</v>
      </c>
      <c r="C15" s="251"/>
      <c r="D15" s="252"/>
      <c r="O15"/>
      <c r="P15"/>
      <c r="Q15"/>
      <c r="R15"/>
      <c r="S15"/>
      <c r="T15"/>
      <c r="U15"/>
      <c r="V15"/>
      <c r="W15"/>
      <c r="X15"/>
      <c r="Y15"/>
      <c r="Z15"/>
      <c r="AA15"/>
      <c r="AB15"/>
    </row>
    <row r="16" spans="1:28" x14ac:dyDescent="0.3">
      <c r="A16" s="3">
        <v>4</v>
      </c>
      <c r="B16" s="54" t="s">
        <v>7</v>
      </c>
      <c r="C16" s="5" t="s">
        <v>420</v>
      </c>
      <c r="D16" s="22"/>
      <c r="O16"/>
      <c r="P16"/>
      <c r="Q16"/>
      <c r="R16"/>
      <c r="S16"/>
      <c r="T16"/>
      <c r="U16"/>
      <c r="V16"/>
      <c r="W16"/>
      <c r="X16"/>
      <c r="Y16"/>
      <c r="Z16"/>
      <c r="AA16"/>
      <c r="AB16"/>
    </row>
    <row r="17" spans="1:28" x14ac:dyDescent="0.3">
      <c r="A17" s="3"/>
      <c r="B17" s="253" t="s">
        <v>8</v>
      </c>
      <c r="C17" s="254"/>
      <c r="D17" s="22"/>
      <c r="O17"/>
      <c r="P17"/>
      <c r="Q17"/>
      <c r="R17"/>
      <c r="S17"/>
      <c r="T17"/>
      <c r="U17"/>
      <c r="V17"/>
      <c r="W17"/>
      <c r="X17"/>
      <c r="Y17"/>
      <c r="Z17"/>
      <c r="AA17"/>
      <c r="AB17"/>
    </row>
    <row r="18" spans="1:28" x14ac:dyDescent="0.3">
      <c r="A18" s="3"/>
      <c r="D18" s="22"/>
      <c r="O18"/>
      <c r="P18"/>
      <c r="Q18"/>
      <c r="R18"/>
      <c r="S18"/>
      <c r="T18"/>
      <c r="U18"/>
      <c r="V18"/>
      <c r="W18"/>
      <c r="X18"/>
      <c r="Y18"/>
      <c r="Z18"/>
      <c r="AA18"/>
      <c r="AB18"/>
    </row>
    <row r="19" spans="1:28" x14ac:dyDescent="0.3">
      <c r="A19" s="3">
        <v>5</v>
      </c>
      <c r="B19" s="255" t="s">
        <v>9</v>
      </c>
      <c r="C19" s="256"/>
      <c r="D19" s="256"/>
      <c r="E19" s="257"/>
      <c r="F19" s="2"/>
      <c r="G19" s="2"/>
      <c r="H19" s="2"/>
      <c r="I19" s="2"/>
      <c r="J19" s="10"/>
      <c r="K19" s="10"/>
      <c r="L19" s="10"/>
      <c r="M19" s="10"/>
      <c r="N19" s="10"/>
      <c r="O19"/>
      <c r="P19"/>
      <c r="Q19"/>
      <c r="R19"/>
      <c r="S19"/>
      <c r="T19"/>
      <c r="U19"/>
      <c r="V19"/>
      <c r="W19"/>
      <c r="X19"/>
      <c r="Y19"/>
      <c r="Z19"/>
      <c r="AA19"/>
      <c r="AB19"/>
    </row>
    <row r="20" spans="1:28" x14ac:dyDescent="0.3">
      <c r="A20" s="3"/>
      <c r="B20" s="65" t="s">
        <v>10</v>
      </c>
      <c r="C20" s="243" t="s">
        <v>11</v>
      </c>
      <c r="D20" s="244"/>
      <c r="E20" s="245"/>
      <c r="F20" s="66"/>
      <c r="G20" s="10"/>
      <c r="H20" s="10"/>
      <c r="I20" s="10"/>
      <c r="J20" s="10"/>
      <c r="K20" s="10"/>
      <c r="L20" s="10"/>
      <c r="M20" s="10"/>
      <c r="N20" s="10"/>
      <c r="O20"/>
      <c r="P20"/>
      <c r="Q20"/>
      <c r="R20"/>
      <c r="S20"/>
      <c r="T20"/>
      <c r="U20"/>
      <c r="V20"/>
      <c r="W20"/>
      <c r="X20"/>
      <c r="Y20"/>
      <c r="Z20"/>
      <c r="AA20"/>
      <c r="AB20"/>
    </row>
    <row r="21" spans="1:28" ht="61.2" x14ac:dyDescent="0.3">
      <c r="A21" s="3"/>
      <c r="B21" s="65" t="s">
        <v>453</v>
      </c>
      <c r="C21" s="243" t="s">
        <v>11</v>
      </c>
      <c r="D21" s="244"/>
      <c r="E21" s="245"/>
      <c r="F21" s="66"/>
      <c r="G21" s="10"/>
      <c r="I21" s="10"/>
      <c r="J21" s="10"/>
      <c r="K21" s="10"/>
      <c r="L21" s="10"/>
      <c r="M21" s="10"/>
      <c r="N21" s="10"/>
      <c r="O21"/>
      <c r="P21"/>
      <c r="Q21"/>
      <c r="R21"/>
      <c r="S21"/>
      <c r="T21"/>
      <c r="U21"/>
      <c r="V21"/>
      <c r="W21"/>
      <c r="X21"/>
      <c r="Y21"/>
      <c r="Z21"/>
      <c r="AA21"/>
      <c r="AB21"/>
    </row>
    <row r="22" spans="1:28" x14ac:dyDescent="0.3">
      <c r="A22" s="3"/>
      <c r="B22" s="65" t="s">
        <v>243</v>
      </c>
      <c r="C22" s="243" t="s">
        <v>11</v>
      </c>
      <c r="D22" s="244"/>
      <c r="E22" s="245"/>
      <c r="F22" s="66"/>
      <c r="G22" s="10"/>
      <c r="H22" s="10"/>
      <c r="I22" s="10"/>
      <c r="J22" s="10"/>
      <c r="K22" s="10"/>
      <c r="L22" s="10"/>
      <c r="M22" s="10"/>
      <c r="N22" s="10"/>
      <c r="O22"/>
      <c r="P22"/>
      <c r="Q22"/>
      <c r="R22"/>
      <c r="S22"/>
      <c r="T22"/>
      <c r="U22"/>
      <c r="V22"/>
      <c r="W22"/>
      <c r="X22"/>
      <c r="Y22"/>
      <c r="Z22"/>
      <c r="AA22"/>
      <c r="AB22"/>
    </row>
    <row r="23" spans="1:28" x14ac:dyDescent="0.3">
      <c r="A23" s="3"/>
      <c r="B23" s="64" t="s">
        <v>252</v>
      </c>
      <c r="C23" s="243" t="s">
        <v>11</v>
      </c>
      <c r="D23" s="244"/>
      <c r="E23" s="245"/>
      <c r="F23" s="66"/>
      <c r="G23" s="10"/>
      <c r="H23" s="10"/>
      <c r="I23" s="10"/>
      <c r="J23" s="10"/>
      <c r="K23" s="10"/>
      <c r="L23" s="10"/>
      <c r="M23" s="10"/>
      <c r="N23" s="10"/>
      <c r="O23"/>
      <c r="P23"/>
      <c r="Q23"/>
      <c r="R23"/>
      <c r="S23"/>
      <c r="T23"/>
      <c r="U23"/>
      <c r="V23"/>
      <c r="W23"/>
      <c r="X23"/>
      <c r="Y23"/>
      <c r="Z23"/>
      <c r="AA23"/>
      <c r="AB23"/>
    </row>
    <row r="24" spans="1:28" x14ac:dyDescent="0.3">
      <c r="A24" s="3"/>
      <c r="B24" s="67" t="s">
        <v>253</v>
      </c>
      <c r="C24" s="401" t="s">
        <v>15</v>
      </c>
      <c r="D24" s="401"/>
      <c r="E24" s="401"/>
      <c r="F24" s="66"/>
      <c r="G24" s="10"/>
      <c r="H24" s="10"/>
      <c r="I24" s="10"/>
      <c r="J24" s="10"/>
      <c r="K24" s="10"/>
      <c r="L24" s="10"/>
      <c r="M24" s="10"/>
      <c r="N24" s="10"/>
      <c r="O24"/>
      <c r="P24"/>
      <c r="Q24"/>
      <c r="R24"/>
      <c r="S24"/>
      <c r="T24"/>
      <c r="U24"/>
      <c r="V24"/>
      <c r="W24"/>
      <c r="X24"/>
      <c r="Y24"/>
      <c r="Z24"/>
      <c r="AA24"/>
      <c r="AB24"/>
    </row>
    <row r="25" spans="1:28" ht="40.5" customHeight="1" x14ac:dyDescent="0.3">
      <c r="A25" s="3"/>
      <c r="B25" s="262" t="s">
        <v>793</v>
      </c>
      <c r="C25" s="262"/>
      <c r="D25" s="262"/>
      <c r="E25" s="262"/>
      <c r="F25" s="66"/>
      <c r="G25" s="10"/>
      <c r="H25" s="10"/>
      <c r="I25" s="10"/>
      <c r="J25" s="10"/>
      <c r="K25" s="10"/>
      <c r="L25" s="10"/>
      <c r="M25" s="10"/>
      <c r="N25" s="10"/>
      <c r="O25"/>
      <c r="P25"/>
      <c r="Q25"/>
      <c r="R25"/>
      <c r="S25"/>
      <c r="T25"/>
      <c r="U25"/>
      <c r="V25"/>
      <c r="W25"/>
      <c r="X25"/>
      <c r="Y25"/>
      <c r="Z25"/>
      <c r="AA25"/>
      <c r="AB25"/>
    </row>
    <row r="26" spans="1:28" x14ac:dyDescent="0.3">
      <c r="A26" s="3">
        <v>6</v>
      </c>
      <c r="B26" s="261" t="s">
        <v>74</v>
      </c>
      <c r="C26" s="262"/>
      <c r="D26" s="262"/>
      <c r="E26" s="263"/>
      <c r="F26" s="2"/>
      <c r="G26" s="2"/>
      <c r="H26" s="10"/>
      <c r="I26" s="2"/>
      <c r="J26" s="2"/>
      <c r="O26"/>
      <c r="P26"/>
      <c r="Q26"/>
      <c r="R26"/>
      <c r="S26"/>
      <c r="T26"/>
      <c r="U26"/>
      <c r="V26"/>
      <c r="W26"/>
      <c r="X26"/>
      <c r="Y26"/>
      <c r="Z26"/>
      <c r="AA26"/>
      <c r="AB26"/>
    </row>
    <row r="27" spans="1:28" x14ac:dyDescent="0.3">
      <c r="A27" s="3"/>
      <c r="B27" s="264" t="s">
        <v>17</v>
      </c>
      <c r="C27" s="265"/>
      <c r="D27" s="265"/>
      <c r="E27" s="266"/>
      <c r="F27" s="66"/>
      <c r="O27"/>
      <c r="P27"/>
      <c r="Q27"/>
      <c r="R27"/>
      <c r="S27"/>
      <c r="T27"/>
      <c r="U27"/>
      <c r="V27"/>
      <c r="W27"/>
      <c r="X27"/>
      <c r="Y27"/>
      <c r="Z27"/>
      <c r="AA27"/>
      <c r="AB27"/>
    </row>
    <row r="28" spans="1:28" x14ac:dyDescent="0.3">
      <c r="A28" s="3"/>
      <c r="B28" s="67" t="s">
        <v>18</v>
      </c>
      <c r="C28" s="25" t="s">
        <v>244</v>
      </c>
      <c r="D28" s="25" t="s">
        <v>245</v>
      </c>
      <c r="E28" s="25" t="s">
        <v>246</v>
      </c>
      <c r="F28" s="66"/>
      <c r="O28"/>
      <c r="P28"/>
      <c r="Q28"/>
      <c r="R28"/>
      <c r="S28"/>
      <c r="T28"/>
      <c r="U28"/>
      <c r="V28"/>
      <c r="W28"/>
      <c r="X28"/>
      <c r="Y28"/>
      <c r="Z28"/>
      <c r="AA28"/>
      <c r="AB28"/>
    </row>
    <row r="29" spans="1:28" ht="20.7" customHeight="1" x14ac:dyDescent="0.3">
      <c r="A29" s="3"/>
      <c r="B29" s="68" t="s">
        <v>21</v>
      </c>
      <c r="C29" s="27">
        <v>10143.36</v>
      </c>
      <c r="D29" s="27">
        <v>9474.09</v>
      </c>
      <c r="E29" s="27">
        <v>9088.44</v>
      </c>
      <c r="F29" s="66"/>
      <c r="O29"/>
      <c r="P29"/>
      <c r="Q29"/>
      <c r="R29"/>
      <c r="S29"/>
      <c r="T29"/>
      <c r="U29"/>
      <c r="V29"/>
      <c r="W29"/>
      <c r="X29"/>
      <c r="Y29"/>
      <c r="Z29"/>
      <c r="AA29"/>
      <c r="AB29"/>
    </row>
    <row r="30" spans="1:28" x14ac:dyDescent="0.3">
      <c r="A30" s="3"/>
      <c r="B30" s="68" t="s">
        <v>23</v>
      </c>
      <c r="C30" s="27">
        <v>781.25</v>
      </c>
      <c r="D30" s="27">
        <v>289.94</v>
      </c>
      <c r="E30" s="27">
        <v>216.51</v>
      </c>
      <c r="F30" s="66"/>
      <c r="O30"/>
      <c r="P30"/>
      <c r="Q30"/>
      <c r="R30"/>
      <c r="S30"/>
      <c r="T30"/>
      <c r="U30"/>
      <c r="V30"/>
      <c r="W30"/>
      <c r="X30"/>
      <c r="Y30"/>
      <c r="Z30"/>
      <c r="AA30"/>
      <c r="AB30"/>
    </row>
    <row r="31" spans="1:28" x14ac:dyDescent="0.3">
      <c r="A31" s="3"/>
      <c r="B31" s="68" t="s">
        <v>24</v>
      </c>
      <c r="C31" s="27">
        <v>833.73</v>
      </c>
      <c r="D31" s="27">
        <v>833.73</v>
      </c>
      <c r="E31" s="27">
        <v>833.73</v>
      </c>
      <c r="F31" s="66"/>
      <c r="H31" s="57"/>
      <c r="O31"/>
      <c r="P31"/>
      <c r="Q31"/>
      <c r="R31"/>
      <c r="S31"/>
      <c r="T31"/>
      <c r="U31"/>
      <c r="V31"/>
      <c r="W31"/>
      <c r="X31"/>
      <c r="Y31"/>
      <c r="Z31"/>
      <c r="AA31"/>
      <c r="AB31"/>
    </row>
    <row r="32" spans="1:28" x14ac:dyDescent="0.3">
      <c r="A32" s="3"/>
      <c r="B32" s="68" t="s">
        <v>25</v>
      </c>
      <c r="C32" s="27">
        <v>6542.71</v>
      </c>
      <c r="D32" s="208">
        <v>6667.57</v>
      </c>
      <c r="E32" s="27">
        <v>6883.52</v>
      </c>
      <c r="F32" s="66"/>
      <c r="O32"/>
      <c r="P32"/>
      <c r="Q32"/>
      <c r="R32"/>
      <c r="S32"/>
      <c r="T32"/>
      <c r="U32"/>
      <c r="V32"/>
      <c r="W32"/>
      <c r="X32"/>
      <c r="Y32"/>
      <c r="Z32"/>
      <c r="AA32"/>
      <c r="AB32"/>
    </row>
    <row r="33" spans="1:28" x14ac:dyDescent="0.3">
      <c r="A33" s="3"/>
      <c r="B33" s="253" t="s">
        <v>800</v>
      </c>
      <c r="C33" s="270"/>
      <c r="D33" s="270"/>
      <c r="E33" s="254"/>
      <c r="F33" s="66"/>
      <c r="O33"/>
      <c r="P33"/>
      <c r="Q33"/>
      <c r="R33"/>
      <c r="S33"/>
      <c r="T33"/>
      <c r="U33"/>
      <c r="V33"/>
      <c r="W33"/>
      <c r="X33"/>
      <c r="Y33"/>
      <c r="Z33"/>
      <c r="AA33"/>
      <c r="AB33"/>
    </row>
    <row r="34" spans="1:28" x14ac:dyDescent="0.3">
      <c r="A34" s="3"/>
      <c r="B34" s="10"/>
      <c r="C34" s="66"/>
      <c r="D34" s="66"/>
      <c r="E34" s="66"/>
      <c r="F34" s="66"/>
      <c r="O34"/>
      <c r="P34"/>
      <c r="Q34"/>
      <c r="R34"/>
      <c r="S34"/>
      <c r="T34"/>
      <c r="U34"/>
      <c r="V34"/>
      <c r="W34"/>
      <c r="X34"/>
      <c r="Y34"/>
      <c r="Z34"/>
      <c r="AA34"/>
      <c r="AB34"/>
    </row>
    <row r="35" spans="1:28" ht="41.7" customHeight="1" x14ac:dyDescent="0.3">
      <c r="A35" s="3">
        <v>7</v>
      </c>
      <c r="B35" s="261" t="s">
        <v>26</v>
      </c>
      <c r="C35" s="262"/>
      <c r="D35" s="262"/>
      <c r="E35" s="263"/>
      <c r="F35" s="2"/>
      <c r="G35" s="2"/>
      <c r="H35" s="2"/>
      <c r="I35" s="2"/>
      <c r="J35" s="2"/>
      <c r="O35"/>
      <c r="P35"/>
      <c r="Q35"/>
      <c r="R35"/>
      <c r="S35"/>
      <c r="T35"/>
      <c r="U35"/>
      <c r="V35"/>
      <c r="W35"/>
      <c r="X35"/>
      <c r="Y35"/>
      <c r="Z35"/>
      <c r="AA35"/>
      <c r="AB35"/>
    </row>
    <row r="36" spans="1:28" x14ac:dyDescent="0.3">
      <c r="A36" s="3"/>
      <c r="B36" s="67" t="s">
        <v>247</v>
      </c>
      <c r="C36" s="27" t="s">
        <v>496</v>
      </c>
      <c r="D36" s="5"/>
      <c r="E36" s="5"/>
      <c r="F36" s="10"/>
      <c r="O36"/>
      <c r="P36"/>
      <c r="Q36"/>
      <c r="R36"/>
      <c r="S36"/>
      <c r="T36"/>
      <c r="U36"/>
      <c r="V36"/>
      <c r="W36"/>
      <c r="X36"/>
      <c r="Y36"/>
      <c r="Z36"/>
      <c r="AA36"/>
      <c r="AB36"/>
    </row>
    <row r="37" spans="1:28" x14ac:dyDescent="0.3">
      <c r="A37" s="3"/>
      <c r="B37" s="67" t="s">
        <v>28</v>
      </c>
      <c r="C37" s="27" t="s">
        <v>455</v>
      </c>
      <c r="D37" s="10"/>
      <c r="E37" s="10"/>
      <c r="F37" s="10"/>
      <c r="O37"/>
      <c r="P37"/>
      <c r="Q37"/>
      <c r="R37"/>
      <c r="S37"/>
      <c r="T37"/>
      <c r="U37"/>
      <c r="V37"/>
      <c r="W37"/>
      <c r="X37"/>
      <c r="Y37"/>
      <c r="Z37"/>
      <c r="AA37"/>
      <c r="AB37"/>
    </row>
    <row r="38" spans="1:28" x14ac:dyDescent="0.3">
      <c r="A38" s="3"/>
      <c r="B38" s="67" t="s">
        <v>29</v>
      </c>
      <c r="C38" s="27" t="s">
        <v>496</v>
      </c>
      <c r="D38" s="10"/>
      <c r="E38" s="10"/>
      <c r="F38" s="10"/>
      <c r="O38"/>
      <c r="P38"/>
      <c r="Q38"/>
      <c r="R38"/>
      <c r="S38"/>
      <c r="T38"/>
      <c r="U38"/>
      <c r="V38"/>
      <c r="W38"/>
      <c r="X38"/>
      <c r="Y38"/>
      <c r="Z38"/>
      <c r="AA38"/>
      <c r="AB38"/>
    </row>
    <row r="39" spans="1:28" ht="42" customHeight="1" x14ac:dyDescent="0.3">
      <c r="A39" s="3"/>
      <c r="B39" s="271" t="s">
        <v>403</v>
      </c>
      <c r="C39" s="271"/>
      <c r="D39" s="271"/>
      <c r="E39" s="10"/>
      <c r="F39" s="10"/>
      <c r="O39"/>
      <c r="P39"/>
      <c r="Q39"/>
      <c r="R39"/>
      <c r="S39"/>
      <c r="T39"/>
      <c r="U39"/>
      <c r="V39"/>
      <c r="W39"/>
      <c r="X39"/>
      <c r="Y39"/>
      <c r="Z39"/>
      <c r="AA39"/>
      <c r="AB39"/>
    </row>
    <row r="40" spans="1:28" x14ac:dyDescent="0.3">
      <c r="A40" s="3"/>
      <c r="B40" s="66"/>
      <c r="C40" s="10"/>
      <c r="D40" s="10"/>
      <c r="E40" s="10"/>
      <c r="F40" s="10"/>
      <c r="O40"/>
      <c r="P40"/>
      <c r="Q40"/>
      <c r="R40"/>
      <c r="S40"/>
      <c r="T40"/>
      <c r="U40"/>
      <c r="V40"/>
      <c r="W40"/>
      <c r="X40"/>
      <c r="Y40"/>
      <c r="Z40"/>
      <c r="AA40"/>
      <c r="AB40"/>
    </row>
    <row r="41" spans="1:28" x14ac:dyDescent="0.3">
      <c r="A41" s="3">
        <v>8</v>
      </c>
      <c r="B41" s="261" t="s">
        <v>30</v>
      </c>
      <c r="C41" s="262"/>
      <c r="D41" s="262"/>
      <c r="E41" s="263"/>
      <c r="F41" s="2"/>
      <c r="G41" s="2"/>
      <c r="H41" s="2"/>
      <c r="I41" s="2"/>
      <c r="J41" s="2"/>
      <c r="O41"/>
      <c r="P41"/>
      <c r="Q41"/>
      <c r="R41"/>
      <c r="S41"/>
      <c r="T41"/>
      <c r="U41"/>
      <c r="V41"/>
      <c r="W41"/>
      <c r="X41"/>
      <c r="Y41"/>
      <c r="Z41"/>
      <c r="AA41"/>
      <c r="AB41"/>
    </row>
    <row r="42" spans="1:28" x14ac:dyDescent="0.3">
      <c r="A42" s="3"/>
      <c r="B42" s="67" t="s">
        <v>31</v>
      </c>
      <c r="C42" s="258" t="s">
        <v>11</v>
      </c>
      <c r="D42" s="259"/>
      <c r="E42" s="260"/>
      <c r="F42" s="10"/>
      <c r="O42"/>
      <c r="P42"/>
      <c r="Q42"/>
      <c r="R42"/>
      <c r="S42"/>
      <c r="T42"/>
      <c r="U42"/>
      <c r="V42"/>
      <c r="W42"/>
      <c r="X42"/>
      <c r="Y42"/>
      <c r="Z42"/>
      <c r="AA42"/>
      <c r="AB42"/>
    </row>
    <row r="43" spans="1:28" ht="70.2" customHeight="1" x14ac:dyDescent="0.3">
      <c r="A43" s="3"/>
      <c r="B43" s="67" t="s">
        <v>28</v>
      </c>
      <c r="C43" s="258" t="s">
        <v>681</v>
      </c>
      <c r="D43" s="259"/>
      <c r="E43" s="260"/>
      <c r="F43" s="10"/>
      <c r="O43"/>
      <c r="P43"/>
      <c r="Q43"/>
      <c r="R43"/>
      <c r="S43"/>
      <c r="T43"/>
      <c r="U43"/>
      <c r="V43"/>
      <c r="W43"/>
      <c r="X43"/>
      <c r="Y43"/>
      <c r="Z43"/>
      <c r="AA43"/>
      <c r="AB43"/>
    </row>
    <row r="44" spans="1:28" ht="75" customHeight="1" x14ac:dyDescent="0.3">
      <c r="A44" s="3"/>
      <c r="B44" s="67" t="s">
        <v>29</v>
      </c>
      <c r="C44" s="258" t="s">
        <v>915</v>
      </c>
      <c r="D44" s="259"/>
      <c r="E44" s="260"/>
      <c r="F44" s="10"/>
      <c r="O44"/>
      <c r="P44"/>
      <c r="Q44"/>
      <c r="R44"/>
      <c r="S44"/>
      <c r="T44"/>
      <c r="U44"/>
      <c r="V44"/>
      <c r="W44"/>
      <c r="X44"/>
      <c r="Y44"/>
      <c r="Z44"/>
      <c r="AA44"/>
      <c r="AB44"/>
    </row>
    <row r="45" spans="1:28" x14ac:dyDescent="0.3">
      <c r="A45" s="3"/>
      <c r="B45" s="253" t="s">
        <v>802</v>
      </c>
      <c r="C45" s="270"/>
      <c r="D45" s="270"/>
      <c r="E45" s="254"/>
      <c r="F45" s="10"/>
      <c r="O45"/>
      <c r="P45"/>
      <c r="Q45"/>
      <c r="R45"/>
      <c r="S45"/>
      <c r="T45"/>
      <c r="U45"/>
      <c r="V45"/>
      <c r="W45"/>
      <c r="X45"/>
      <c r="Y45"/>
      <c r="Z45"/>
      <c r="AA45"/>
      <c r="AB45"/>
    </row>
    <row r="46" spans="1:28" x14ac:dyDescent="0.3">
      <c r="A46" s="3"/>
      <c r="D46" s="22"/>
      <c r="E46" s="10"/>
      <c r="O46"/>
      <c r="P46"/>
      <c r="Q46"/>
      <c r="R46"/>
      <c r="S46"/>
      <c r="T46"/>
      <c r="U46"/>
      <c r="V46"/>
      <c r="W46"/>
      <c r="X46"/>
      <c r="Y46"/>
      <c r="Z46"/>
      <c r="AA46"/>
      <c r="AB46"/>
    </row>
    <row r="47" spans="1:28" ht="83.4" customHeight="1" x14ac:dyDescent="0.3">
      <c r="A47" s="191">
        <v>9</v>
      </c>
      <c r="B47" s="262" t="s">
        <v>32</v>
      </c>
      <c r="C47" s="262"/>
      <c r="D47" s="262"/>
      <c r="E47" s="263"/>
      <c r="F47" s="2"/>
      <c r="G47" s="2"/>
      <c r="H47" s="2"/>
      <c r="I47" s="2"/>
      <c r="O47"/>
      <c r="P47"/>
      <c r="Q47"/>
      <c r="R47"/>
      <c r="S47"/>
      <c r="T47"/>
      <c r="U47"/>
      <c r="V47"/>
      <c r="W47"/>
      <c r="X47"/>
      <c r="Y47"/>
      <c r="Z47"/>
      <c r="AA47"/>
      <c r="AB47"/>
    </row>
    <row r="48" spans="1:28" ht="61.2" x14ac:dyDescent="0.3">
      <c r="A48" s="191"/>
      <c r="B48" s="24" t="s">
        <v>33</v>
      </c>
      <c r="C48" s="25" t="s">
        <v>34</v>
      </c>
      <c r="D48" s="25" t="s">
        <v>96</v>
      </c>
      <c r="E48" s="25" t="s">
        <v>35</v>
      </c>
      <c r="O48"/>
      <c r="P48"/>
      <c r="Q48"/>
      <c r="R48"/>
      <c r="S48"/>
      <c r="T48"/>
      <c r="U48"/>
      <c r="V48"/>
      <c r="W48"/>
      <c r="X48"/>
      <c r="Y48"/>
      <c r="Z48"/>
      <c r="AA48"/>
      <c r="AB48"/>
    </row>
    <row r="49" spans="1:28" ht="392.4" customHeight="1" x14ac:dyDescent="0.3">
      <c r="A49" s="191"/>
      <c r="B49" s="189" t="s">
        <v>958</v>
      </c>
      <c r="C49" s="27" t="s">
        <v>404</v>
      </c>
      <c r="D49" s="27" t="s">
        <v>873</v>
      </c>
      <c r="E49" s="27" t="s">
        <v>121</v>
      </c>
      <c r="O49"/>
      <c r="P49"/>
      <c r="Q49"/>
      <c r="R49"/>
      <c r="S49"/>
      <c r="T49"/>
      <c r="U49"/>
      <c r="V49"/>
      <c r="W49"/>
      <c r="X49"/>
      <c r="Y49"/>
      <c r="Z49"/>
      <c r="AA49"/>
      <c r="AB49"/>
    </row>
    <row r="50" spans="1:28" x14ac:dyDescent="0.3">
      <c r="A50" s="191"/>
      <c r="B50" s="270"/>
      <c r="C50" s="270"/>
      <c r="D50" s="270"/>
      <c r="E50" s="254"/>
      <c r="O50"/>
      <c r="P50"/>
      <c r="Q50"/>
      <c r="R50"/>
      <c r="S50"/>
      <c r="T50"/>
      <c r="U50"/>
      <c r="V50"/>
      <c r="W50"/>
      <c r="X50"/>
      <c r="Y50"/>
      <c r="Z50"/>
      <c r="AA50"/>
      <c r="AB50"/>
    </row>
    <row r="51" spans="1:28" x14ac:dyDescent="0.4">
      <c r="A51" s="191"/>
      <c r="B51" s="290" t="s">
        <v>874</v>
      </c>
      <c r="C51" s="290"/>
      <c r="D51" s="290"/>
      <c r="E51" s="291"/>
      <c r="O51"/>
      <c r="P51"/>
      <c r="Q51"/>
      <c r="R51"/>
      <c r="S51"/>
      <c r="T51"/>
      <c r="U51"/>
      <c r="V51"/>
      <c r="W51"/>
      <c r="X51"/>
      <c r="Y51"/>
      <c r="Z51"/>
      <c r="AA51"/>
      <c r="AB51"/>
    </row>
    <row r="52" spans="1:28" x14ac:dyDescent="0.3">
      <c r="A52" s="191"/>
      <c r="B52" s="28"/>
      <c r="C52" s="22"/>
      <c r="D52" s="22"/>
      <c r="E52" s="22"/>
      <c r="F52" s="66"/>
      <c r="G52" s="66"/>
      <c r="H52" s="66"/>
      <c r="I52" s="66"/>
      <c r="O52"/>
      <c r="P52"/>
      <c r="Q52"/>
      <c r="R52"/>
      <c r="S52"/>
      <c r="T52"/>
      <c r="U52"/>
      <c r="V52"/>
      <c r="W52"/>
      <c r="X52"/>
      <c r="Y52"/>
      <c r="Z52"/>
      <c r="AA52"/>
      <c r="AB52"/>
    </row>
    <row r="53" spans="1:28" ht="43.2" customHeight="1" x14ac:dyDescent="0.3">
      <c r="A53" s="191">
        <v>10</v>
      </c>
      <c r="B53" s="262" t="s">
        <v>32</v>
      </c>
      <c r="C53" s="262"/>
      <c r="D53" s="262"/>
      <c r="E53" s="263"/>
      <c r="F53" s="66"/>
      <c r="G53" s="66"/>
      <c r="H53" s="66"/>
      <c r="O53"/>
      <c r="P53"/>
      <c r="Q53"/>
      <c r="R53"/>
      <c r="S53"/>
      <c r="T53"/>
      <c r="U53"/>
      <c r="V53"/>
      <c r="W53"/>
      <c r="X53"/>
      <c r="Y53"/>
      <c r="Z53"/>
      <c r="AA53"/>
      <c r="AB53"/>
    </row>
    <row r="54" spans="1:28" x14ac:dyDescent="0.3">
      <c r="A54" s="191"/>
      <c r="B54" s="275" t="s">
        <v>36</v>
      </c>
      <c r="C54" s="277" t="s">
        <v>570</v>
      </c>
      <c r="D54" s="278"/>
      <c r="E54" s="279"/>
      <c r="K54" s="2"/>
      <c r="O54"/>
      <c r="P54"/>
      <c r="Q54"/>
      <c r="R54"/>
      <c r="S54"/>
      <c r="T54"/>
      <c r="U54"/>
      <c r="V54"/>
      <c r="W54"/>
      <c r="X54"/>
      <c r="Y54"/>
      <c r="Z54"/>
      <c r="AA54"/>
      <c r="AB54"/>
    </row>
    <row r="55" spans="1:28" ht="100.2" customHeight="1" x14ac:dyDescent="0.3">
      <c r="A55" s="191"/>
      <c r="B55" s="276"/>
      <c r="C55" s="280"/>
      <c r="D55" s="281"/>
      <c r="E55" s="282"/>
      <c r="K55" s="2"/>
      <c r="O55"/>
      <c r="P55"/>
      <c r="Q55"/>
      <c r="R55"/>
      <c r="S55"/>
      <c r="T55"/>
      <c r="U55"/>
      <c r="V55"/>
      <c r="W55"/>
      <c r="X55"/>
      <c r="Y55"/>
      <c r="Z55"/>
      <c r="AA55"/>
      <c r="AB55"/>
    </row>
    <row r="56" spans="1:28" ht="123.6" customHeight="1" x14ac:dyDescent="0.3">
      <c r="A56" s="191"/>
      <c r="B56" s="29" t="s">
        <v>37</v>
      </c>
      <c r="C56" s="283" t="s">
        <v>873</v>
      </c>
      <c r="D56" s="284"/>
      <c r="E56" s="285"/>
      <c r="O56"/>
      <c r="P56"/>
      <c r="Q56"/>
      <c r="R56"/>
      <c r="S56"/>
      <c r="T56"/>
      <c r="U56"/>
      <c r="V56"/>
      <c r="W56"/>
      <c r="X56"/>
      <c r="Y56"/>
      <c r="Z56"/>
      <c r="AA56"/>
      <c r="AB56"/>
    </row>
    <row r="57" spans="1:28" ht="106.95" customHeight="1" x14ac:dyDescent="0.3">
      <c r="A57" s="191"/>
      <c r="B57" s="29" t="s">
        <v>38</v>
      </c>
      <c r="C57" s="286" t="s">
        <v>121</v>
      </c>
      <c r="D57" s="287"/>
      <c r="E57" s="288"/>
      <c r="K57" s="30"/>
      <c r="O57"/>
      <c r="P57"/>
      <c r="Q57"/>
      <c r="R57"/>
      <c r="S57"/>
      <c r="T57"/>
      <c r="U57"/>
      <c r="V57"/>
      <c r="W57"/>
      <c r="X57"/>
      <c r="Y57"/>
      <c r="Z57"/>
      <c r="AA57"/>
      <c r="AB57"/>
    </row>
    <row r="58" spans="1:28" s="32" customFormat="1" x14ac:dyDescent="0.4">
      <c r="A58" s="111" t="s">
        <v>39</v>
      </c>
      <c r="B58" s="290" t="s">
        <v>875</v>
      </c>
      <c r="C58" s="290"/>
      <c r="D58" s="290"/>
      <c r="E58" s="291"/>
      <c r="O58"/>
      <c r="P58"/>
      <c r="Q58"/>
      <c r="R58"/>
      <c r="S58"/>
      <c r="T58"/>
      <c r="U58"/>
      <c r="V58"/>
      <c r="W58"/>
      <c r="X58"/>
      <c r="Y58"/>
      <c r="Z58"/>
      <c r="AA58"/>
      <c r="AB58"/>
    </row>
    <row r="59" spans="1:28" x14ac:dyDescent="0.3">
      <c r="A59" s="3"/>
      <c r="B59" s="73"/>
      <c r="C59" s="73"/>
      <c r="D59" s="73"/>
      <c r="E59" s="73"/>
      <c r="F59" s="73"/>
      <c r="O59"/>
      <c r="P59"/>
      <c r="Q59"/>
      <c r="R59"/>
      <c r="S59"/>
      <c r="T59"/>
      <c r="U59"/>
      <c r="V59"/>
      <c r="W59"/>
      <c r="X59"/>
      <c r="Y59"/>
      <c r="Z59"/>
      <c r="AA59"/>
      <c r="AB59"/>
    </row>
    <row r="60" spans="1:28" x14ac:dyDescent="0.3">
      <c r="A60" s="3">
        <v>11</v>
      </c>
      <c r="B60" s="54" t="s">
        <v>41</v>
      </c>
      <c r="C60" s="270" t="s">
        <v>121</v>
      </c>
      <c r="D60" s="270"/>
      <c r="E60" s="270"/>
      <c r="F60" s="2"/>
      <c r="G60" s="2"/>
      <c r="H60" s="74"/>
      <c r="I60" s="2"/>
      <c r="J60" s="2"/>
      <c r="O60"/>
      <c r="P60"/>
      <c r="Q60"/>
      <c r="R60"/>
      <c r="S60"/>
      <c r="T60"/>
      <c r="U60"/>
      <c r="V60"/>
      <c r="W60"/>
      <c r="X60"/>
      <c r="Y60"/>
      <c r="Z60"/>
      <c r="AA60"/>
      <c r="AB60"/>
    </row>
    <row r="61" spans="1:28" ht="20.7" customHeight="1" x14ac:dyDescent="0.3">
      <c r="A61" s="3"/>
      <c r="B61" s="66"/>
      <c r="C61" s="270"/>
      <c r="D61" s="270"/>
      <c r="E61" s="270"/>
      <c r="F61" s="66"/>
      <c r="G61" s="66"/>
      <c r="H61" s="75"/>
      <c r="I61" s="75"/>
      <c r="J61" s="66"/>
      <c r="O61"/>
      <c r="P61"/>
      <c r="Q61"/>
      <c r="R61"/>
      <c r="S61"/>
      <c r="T61"/>
      <c r="U61"/>
      <c r="V61"/>
      <c r="W61"/>
      <c r="X61"/>
      <c r="Y61"/>
      <c r="Z61"/>
      <c r="AA61"/>
      <c r="AB61"/>
    </row>
    <row r="62" spans="1:28" s="42" customFormat="1" x14ac:dyDescent="0.3">
      <c r="A62" s="76">
        <v>12</v>
      </c>
      <c r="B62" s="77" t="s">
        <v>42</v>
      </c>
      <c r="C62" s="272"/>
      <c r="D62" s="273"/>
      <c r="E62" s="274"/>
      <c r="F62" s="78"/>
      <c r="G62" s="79"/>
      <c r="H62" s="79"/>
      <c r="I62" s="79"/>
      <c r="J62" s="79"/>
      <c r="K62" s="79"/>
      <c r="L62" s="79"/>
      <c r="M62" s="79"/>
      <c r="N62" s="79"/>
      <c r="O62"/>
      <c r="P62"/>
      <c r="Q62"/>
      <c r="R62"/>
      <c r="S62"/>
      <c r="T62"/>
      <c r="U62"/>
      <c r="V62"/>
      <c r="W62"/>
      <c r="X62"/>
      <c r="Y62"/>
      <c r="Z62"/>
      <c r="AA62"/>
      <c r="AB62"/>
    </row>
    <row r="63" spans="1:28" x14ac:dyDescent="0.3">
      <c r="A63" s="3"/>
      <c r="B63" s="2"/>
      <c r="C63" s="2"/>
      <c r="D63" s="2"/>
      <c r="E63" s="74"/>
      <c r="F63" s="74"/>
      <c r="G63" s="74"/>
      <c r="H63" s="2"/>
      <c r="I63" s="2"/>
      <c r="J63" s="2"/>
      <c r="K63" s="2"/>
      <c r="L63" s="2"/>
      <c r="M63" s="2"/>
      <c r="N63" s="2"/>
      <c r="O63"/>
      <c r="P63"/>
      <c r="Q63"/>
      <c r="R63"/>
      <c r="S63"/>
      <c r="T63"/>
      <c r="U63"/>
      <c r="V63"/>
      <c r="W63"/>
      <c r="X63"/>
      <c r="Y63"/>
      <c r="Z63"/>
      <c r="AA63"/>
      <c r="AB63"/>
    </row>
    <row r="64" spans="1:28" x14ac:dyDescent="0.3">
      <c r="A64" s="3"/>
      <c r="B64" s="67" t="s">
        <v>43</v>
      </c>
      <c r="C64" s="68" t="s">
        <v>405</v>
      </c>
      <c r="D64" s="66"/>
      <c r="E64" s="66"/>
      <c r="F64" s="75"/>
      <c r="G64" s="75"/>
      <c r="H64" s="66"/>
      <c r="I64" s="66"/>
      <c r="J64" s="66"/>
      <c r="K64" s="66"/>
      <c r="L64" s="66"/>
      <c r="M64" s="66"/>
      <c r="N64" s="66"/>
      <c r="O64"/>
      <c r="P64"/>
      <c r="Q64"/>
      <c r="R64"/>
      <c r="S64"/>
      <c r="T64"/>
      <c r="U64"/>
      <c r="V64"/>
      <c r="W64"/>
      <c r="X64"/>
      <c r="Y64"/>
      <c r="Z64"/>
      <c r="AA64"/>
      <c r="AB64"/>
    </row>
    <row r="65" spans="1:28" x14ac:dyDescent="0.3">
      <c r="A65" s="3"/>
      <c r="B65" s="66"/>
      <c r="C65" s="66"/>
      <c r="D65" s="66"/>
      <c r="E65" s="66"/>
      <c r="F65" s="66"/>
      <c r="G65" s="66"/>
      <c r="H65" s="66"/>
      <c r="I65" s="66"/>
      <c r="J65" s="66"/>
      <c r="K65" s="66"/>
      <c r="L65" s="66"/>
      <c r="M65" s="66"/>
      <c r="N65" s="66"/>
      <c r="O65"/>
      <c r="P65"/>
      <c r="Q65"/>
      <c r="R65"/>
      <c r="S65"/>
      <c r="T65"/>
      <c r="U65"/>
      <c r="V65"/>
      <c r="W65"/>
      <c r="X65"/>
      <c r="Y65"/>
      <c r="Z65"/>
      <c r="AA65"/>
      <c r="AB65"/>
    </row>
    <row r="66" spans="1:28" ht="87.6" customHeight="1" x14ac:dyDescent="0.3">
      <c r="A66" s="3"/>
      <c r="B66" s="295" t="s">
        <v>44</v>
      </c>
      <c r="C66" s="295" t="s">
        <v>406</v>
      </c>
      <c r="D66" s="295" t="s">
        <v>68</v>
      </c>
      <c r="E66" s="297" t="s">
        <v>45</v>
      </c>
      <c r="F66" s="292" t="s">
        <v>254</v>
      </c>
      <c r="G66" s="293"/>
      <c r="H66" s="294"/>
      <c r="I66" s="292" t="s">
        <v>255</v>
      </c>
      <c r="J66" s="293"/>
      <c r="K66" s="294"/>
      <c r="L66" s="310" t="s">
        <v>197</v>
      </c>
      <c r="M66" s="310"/>
      <c r="N66" s="310"/>
      <c r="O66"/>
      <c r="P66"/>
      <c r="Q66"/>
      <c r="R66"/>
      <c r="S66"/>
      <c r="T66"/>
      <c r="U66"/>
      <c r="V66"/>
      <c r="W66"/>
      <c r="X66"/>
      <c r="Y66"/>
      <c r="Z66"/>
      <c r="AA66"/>
      <c r="AB66"/>
    </row>
    <row r="67" spans="1:28" ht="61.2" x14ac:dyDescent="0.3">
      <c r="A67" s="3"/>
      <c r="B67" s="296"/>
      <c r="C67" s="296"/>
      <c r="D67" s="296"/>
      <c r="E67" s="298"/>
      <c r="F67" s="67" t="s">
        <v>46</v>
      </c>
      <c r="G67" s="67" t="s">
        <v>47</v>
      </c>
      <c r="H67" s="67" t="s">
        <v>48</v>
      </c>
      <c r="I67" s="67" t="s">
        <v>49</v>
      </c>
      <c r="J67" s="67" t="s">
        <v>47</v>
      </c>
      <c r="K67" s="67" t="s">
        <v>48</v>
      </c>
      <c r="L67" s="67" t="s">
        <v>49</v>
      </c>
      <c r="M67" s="67" t="s">
        <v>47</v>
      </c>
      <c r="N67" s="67" t="s">
        <v>48</v>
      </c>
      <c r="O67"/>
      <c r="P67"/>
      <c r="Q67"/>
      <c r="R67"/>
      <c r="S67"/>
      <c r="T67"/>
      <c r="U67"/>
      <c r="V67"/>
      <c r="W67"/>
      <c r="X67"/>
      <c r="Y67"/>
      <c r="Z67"/>
      <c r="AA67"/>
      <c r="AB67"/>
    </row>
    <row r="68" spans="1:28" ht="105" customHeight="1" x14ac:dyDescent="0.3">
      <c r="A68" s="3"/>
      <c r="B68" s="67" t="s">
        <v>66</v>
      </c>
      <c r="C68" s="82">
        <v>129</v>
      </c>
      <c r="D68" s="82">
        <v>91.4</v>
      </c>
      <c r="E68" s="82">
        <v>109.25</v>
      </c>
      <c r="F68" s="81">
        <v>109.35</v>
      </c>
      <c r="G68" s="50">
        <v>139</v>
      </c>
      <c r="H68" s="50">
        <v>88.05</v>
      </c>
      <c r="I68" s="121">
        <v>53.1</v>
      </c>
      <c r="J68" s="121">
        <v>136.44999999999999</v>
      </c>
      <c r="K68" s="121">
        <v>51.25</v>
      </c>
      <c r="L68" s="121">
        <v>29.65</v>
      </c>
      <c r="M68" s="121">
        <v>72.599999999999994</v>
      </c>
      <c r="N68" s="121">
        <v>29.35</v>
      </c>
      <c r="O68"/>
      <c r="P68"/>
      <c r="Q68"/>
      <c r="R68"/>
      <c r="S68"/>
      <c r="T68"/>
      <c r="U68"/>
      <c r="V68"/>
      <c r="W68"/>
      <c r="X68"/>
      <c r="Y68"/>
      <c r="Z68"/>
      <c r="AA68"/>
      <c r="AB68"/>
    </row>
    <row r="69" spans="1:28" ht="40.799999999999997" x14ac:dyDescent="0.3">
      <c r="A69" s="3"/>
      <c r="B69" s="69" t="s">
        <v>67</v>
      </c>
      <c r="C69" s="82">
        <v>22198.35</v>
      </c>
      <c r="D69" s="82">
        <v>22163.65</v>
      </c>
      <c r="E69" s="82">
        <v>22932.45</v>
      </c>
      <c r="F69" s="121">
        <v>22326.9</v>
      </c>
      <c r="G69" s="121">
        <v>22526.6</v>
      </c>
      <c r="H69" s="121">
        <v>17312.75</v>
      </c>
      <c r="I69" s="121">
        <v>23519.35</v>
      </c>
      <c r="J69" s="121">
        <v>26277.35</v>
      </c>
      <c r="K69" s="121">
        <v>21281.45</v>
      </c>
      <c r="L69" s="121">
        <v>22331.4</v>
      </c>
      <c r="M69" s="121">
        <v>26373.200000000001</v>
      </c>
      <c r="N69" s="121">
        <v>21743.65</v>
      </c>
      <c r="O69"/>
      <c r="P69"/>
      <c r="Q69"/>
      <c r="R69"/>
      <c r="S69"/>
      <c r="T69"/>
      <c r="U69"/>
      <c r="V69"/>
      <c r="W69"/>
      <c r="X69"/>
      <c r="Y69"/>
      <c r="Z69"/>
      <c r="AA69"/>
      <c r="AB69"/>
    </row>
    <row r="70" spans="1:28" ht="20.25" customHeight="1" x14ac:dyDescent="0.3">
      <c r="A70" s="3"/>
      <c r="B70" s="253" t="s">
        <v>99</v>
      </c>
      <c r="C70" s="270"/>
      <c r="D70" s="270"/>
      <c r="E70" s="270"/>
      <c r="F70" s="270"/>
      <c r="G70" s="270"/>
      <c r="H70" s="270"/>
      <c r="I70" s="270"/>
      <c r="J70" s="270"/>
      <c r="K70" s="270"/>
      <c r="L70" s="270"/>
      <c r="M70" s="270"/>
      <c r="N70" s="254"/>
      <c r="O70"/>
      <c r="P70"/>
      <c r="Q70"/>
      <c r="R70"/>
      <c r="S70"/>
      <c r="T70"/>
      <c r="U70"/>
      <c r="V70"/>
      <c r="W70"/>
      <c r="X70"/>
      <c r="Y70"/>
      <c r="Z70"/>
      <c r="AA70"/>
      <c r="AB70"/>
    </row>
    <row r="71" spans="1:28" ht="20.25" customHeight="1" x14ac:dyDescent="0.3">
      <c r="A71" s="3"/>
      <c r="B71" s="253" t="s">
        <v>801</v>
      </c>
      <c r="C71" s="270"/>
      <c r="D71" s="270"/>
      <c r="E71" s="270"/>
      <c r="F71" s="254"/>
      <c r="G71" s="83"/>
      <c r="H71" s="83"/>
      <c r="I71" s="83"/>
      <c r="J71" s="83"/>
      <c r="K71" s="83"/>
      <c r="L71" s="83"/>
      <c r="M71" s="83"/>
      <c r="N71" s="83"/>
      <c r="O71"/>
      <c r="P71"/>
      <c r="Q71"/>
      <c r="R71"/>
      <c r="S71"/>
      <c r="T71"/>
      <c r="U71"/>
      <c r="V71"/>
      <c r="W71"/>
      <c r="X71"/>
      <c r="Y71"/>
      <c r="Z71"/>
      <c r="AA71"/>
      <c r="AB71"/>
    </row>
    <row r="72" spans="1:28" ht="20.25" customHeight="1" x14ac:dyDescent="0.3">
      <c r="A72" s="3"/>
      <c r="B72" s="253" t="s">
        <v>950</v>
      </c>
      <c r="C72" s="270"/>
      <c r="D72" s="270"/>
      <c r="E72" s="270"/>
      <c r="F72" s="254"/>
      <c r="G72" s="83"/>
      <c r="H72" s="83"/>
      <c r="I72" s="83"/>
      <c r="J72" s="83"/>
      <c r="K72" s="83"/>
      <c r="L72" s="83"/>
      <c r="M72" s="83"/>
      <c r="N72" s="83"/>
      <c r="O72"/>
      <c r="P72"/>
      <c r="Q72"/>
      <c r="R72"/>
      <c r="S72"/>
      <c r="T72"/>
      <c r="U72"/>
      <c r="V72"/>
      <c r="W72"/>
      <c r="X72"/>
      <c r="Y72"/>
      <c r="Z72"/>
      <c r="AA72"/>
      <c r="AB72"/>
    </row>
    <row r="73" spans="1:28" x14ac:dyDescent="0.3">
      <c r="A73" s="3"/>
      <c r="B73" s="253" t="s">
        <v>71</v>
      </c>
      <c r="C73" s="270"/>
      <c r="D73" s="270"/>
      <c r="E73" s="270"/>
      <c r="F73" s="254"/>
      <c r="G73" s="83"/>
      <c r="H73" s="83"/>
      <c r="I73" s="83"/>
      <c r="J73" s="83"/>
      <c r="K73" s="83"/>
      <c r="L73" s="83"/>
      <c r="M73" s="83"/>
      <c r="N73" s="83"/>
      <c r="O73"/>
      <c r="P73"/>
      <c r="Q73"/>
      <c r="R73"/>
      <c r="S73"/>
      <c r="T73"/>
      <c r="U73"/>
      <c r="V73"/>
      <c r="W73"/>
      <c r="X73"/>
      <c r="Y73"/>
      <c r="Z73"/>
      <c r="AA73"/>
      <c r="AB73"/>
    </row>
    <row r="74" spans="1:28" hidden="1" x14ac:dyDescent="0.3">
      <c r="A74" s="3"/>
      <c r="B74" s="270" t="s">
        <v>641</v>
      </c>
      <c r="C74" s="270"/>
      <c r="D74" s="84"/>
      <c r="E74" s="84"/>
      <c r="F74" s="84"/>
      <c r="G74" s="10"/>
      <c r="H74" s="10"/>
      <c r="I74" s="10"/>
      <c r="J74" s="10"/>
      <c r="K74" s="10"/>
      <c r="L74" s="10"/>
      <c r="M74" s="10"/>
      <c r="N74" s="10"/>
      <c r="O74"/>
      <c r="P74"/>
      <c r="Q74"/>
      <c r="R74"/>
      <c r="S74"/>
      <c r="T74"/>
      <c r="U74"/>
      <c r="V74"/>
      <c r="W74"/>
      <c r="X74"/>
      <c r="Y74"/>
      <c r="Z74"/>
      <c r="AA74"/>
      <c r="AB74"/>
    </row>
    <row r="75" spans="1:28" ht="39" customHeight="1" x14ac:dyDescent="0.3">
      <c r="A75" s="3">
        <v>13</v>
      </c>
      <c r="B75" s="261" t="s">
        <v>51</v>
      </c>
      <c r="C75" s="262"/>
      <c r="D75" s="262"/>
      <c r="E75" s="262"/>
      <c r="F75" s="262"/>
      <c r="G75" s="263"/>
      <c r="H75" s="2"/>
      <c r="I75" s="2"/>
      <c r="J75" s="2"/>
      <c r="K75" s="2"/>
      <c r="L75" s="2"/>
      <c r="M75" s="2"/>
      <c r="N75" s="2"/>
      <c r="O75"/>
      <c r="P75"/>
      <c r="Q75"/>
      <c r="R75"/>
      <c r="S75"/>
      <c r="T75"/>
      <c r="U75"/>
      <c r="V75"/>
      <c r="W75"/>
      <c r="X75"/>
      <c r="Y75"/>
      <c r="Z75"/>
      <c r="AA75"/>
      <c r="AB75"/>
    </row>
    <row r="76" spans="1:28" x14ac:dyDescent="0.3">
      <c r="A76" s="3"/>
      <c r="C76" s="66"/>
      <c r="D76" s="66"/>
      <c r="E76" s="66"/>
      <c r="F76" s="66"/>
      <c r="G76" s="66"/>
      <c r="H76" s="66"/>
      <c r="I76" s="66"/>
      <c r="J76" s="66"/>
      <c r="K76" s="66"/>
      <c r="L76" s="66"/>
      <c r="M76" s="66"/>
      <c r="N76" s="66"/>
      <c r="O76"/>
      <c r="P76"/>
      <c r="Q76"/>
      <c r="R76"/>
      <c r="S76"/>
      <c r="T76"/>
      <c r="U76"/>
      <c r="V76"/>
      <c r="W76"/>
      <c r="X76"/>
      <c r="Y76"/>
      <c r="Z76"/>
      <c r="AA76"/>
      <c r="AB76"/>
    </row>
    <row r="77" spans="1:28" ht="67.5" customHeight="1" x14ac:dyDescent="0.3">
      <c r="A77" s="3"/>
      <c r="B77" s="25" t="s">
        <v>52</v>
      </c>
      <c r="C77" s="25" t="s">
        <v>53</v>
      </c>
      <c r="D77" s="25" t="s">
        <v>953</v>
      </c>
      <c r="E77" s="25" t="s">
        <v>54</v>
      </c>
      <c r="F77" s="25" t="s">
        <v>55</v>
      </c>
      <c r="G77" s="25" t="s">
        <v>56</v>
      </c>
      <c r="H77" s="10"/>
      <c r="I77" s="10"/>
      <c r="J77" s="10"/>
      <c r="K77" s="10"/>
      <c r="L77" s="10"/>
      <c r="M77" s="10"/>
      <c r="N77" s="10"/>
      <c r="O77"/>
      <c r="P77"/>
      <c r="Q77"/>
      <c r="R77"/>
      <c r="S77"/>
      <c r="T77"/>
      <c r="U77"/>
      <c r="V77"/>
      <c r="W77"/>
      <c r="X77"/>
      <c r="Y77"/>
      <c r="Z77"/>
      <c r="AA77"/>
      <c r="AB77"/>
    </row>
    <row r="78" spans="1:28" ht="21" customHeight="1" x14ac:dyDescent="0.3">
      <c r="A78" s="3"/>
      <c r="B78" s="297" t="s">
        <v>72</v>
      </c>
      <c r="C78" s="54" t="s">
        <v>407</v>
      </c>
      <c r="D78" s="135">
        <v>50.03</v>
      </c>
      <c r="E78" s="152">
        <v>12.92</v>
      </c>
      <c r="F78" s="236">
        <v>3.48</v>
      </c>
      <c r="G78" s="90">
        <v>2.6</v>
      </c>
      <c r="O78"/>
      <c r="P78"/>
      <c r="Q78"/>
      <c r="R78"/>
      <c r="S78"/>
      <c r="T78"/>
      <c r="U78"/>
      <c r="V78"/>
      <c r="W78"/>
      <c r="X78"/>
      <c r="Y78"/>
      <c r="Z78"/>
      <c r="AA78"/>
      <c r="AB78"/>
    </row>
    <row r="79" spans="1:28" ht="21" customHeight="1" x14ac:dyDescent="0.3">
      <c r="A79" s="3"/>
      <c r="B79" s="309"/>
      <c r="C79" s="54" t="s">
        <v>237</v>
      </c>
      <c r="D79" s="135"/>
      <c r="E79" s="152"/>
      <c r="F79" s="236"/>
      <c r="G79" s="88"/>
      <c r="O79"/>
      <c r="P79"/>
      <c r="Q79"/>
      <c r="R79"/>
      <c r="S79"/>
      <c r="T79"/>
      <c r="U79"/>
      <c r="V79"/>
      <c r="W79"/>
      <c r="X79"/>
      <c r="Y79"/>
      <c r="Z79"/>
      <c r="AA79"/>
      <c r="AB79"/>
    </row>
    <row r="80" spans="1:28" ht="38.25" customHeight="1" x14ac:dyDescent="0.3">
      <c r="A80" s="3"/>
      <c r="B80" s="309"/>
      <c r="C80" s="5" t="s">
        <v>408</v>
      </c>
      <c r="D80" s="135">
        <v>3.36</v>
      </c>
      <c r="E80" s="152">
        <v>-3.22</v>
      </c>
      <c r="F80" s="236" t="s">
        <v>682</v>
      </c>
      <c r="G80" s="152" t="s">
        <v>959</v>
      </c>
      <c r="O80"/>
      <c r="P80"/>
      <c r="Q80"/>
      <c r="R80"/>
      <c r="S80"/>
      <c r="T80"/>
      <c r="U80"/>
      <c r="V80"/>
      <c r="W80"/>
      <c r="X80"/>
      <c r="Y80"/>
      <c r="Z80"/>
      <c r="AA80"/>
      <c r="AB80"/>
    </row>
    <row r="81" spans="1:28" ht="21" hidden="1" customHeight="1" x14ac:dyDescent="0.3">
      <c r="A81" s="3"/>
      <c r="B81" s="298"/>
      <c r="C81" s="54" t="s">
        <v>295</v>
      </c>
      <c r="D81" s="140">
        <f>AVERAGE(D80:D80)</f>
        <v>3.36</v>
      </c>
      <c r="E81" s="164">
        <v>-3.22</v>
      </c>
      <c r="F81" s="237"/>
      <c r="G81" s="88"/>
      <c r="H81" s="238">
        <v>53.1</v>
      </c>
      <c r="O81"/>
      <c r="P81"/>
      <c r="Q81"/>
      <c r="R81"/>
      <c r="S81"/>
      <c r="T81"/>
      <c r="U81"/>
      <c r="V81"/>
      <c r="W81"/>
      <c r="X81"/>
      <c r="Y81"/>
      <c r="Z81"/>
      <c r="AA81"/>
      <c r="AB81"/>
    </row>
    <row r="82" spans="1:28" x14ac:dyDescent="0.3">
      <c r="A82" s="3"/>
      <c r="B82" s="297" t="s">
        <v>59</v>
      </c>
      <c r="C82" s="54" t="s">
        <v>407</v>
      </c>
      <c r="D82" s="135">
        <v>20.25</v>
      </c>
      <c r="E82" s="152">
        <v>8.4600000000000009</v>
      </c>
      <c r="F82" s="239">
        <f>H81/F78</f>
        <v>15.258620689655173</v>
      </c>
      <c r="G82" s="90">
        <f>L68/G78</f>
        <v>11.403846153846153</v>
      </c>
      <c r="O82"/>
      <c r="P82"/>
      <c r="Q82"/>
      <c r="R82"/>
      <c r="S82"/>
      <c r="T82"/>
      <c r="U82"/>
      <c r="V82"/>
      <c r="W82"/>
      <c r="X82"/>
      <c r="Y82"/>
      <c r="Z82"/>
      <c r="AA82"/>
      <c r="AB82"/>
    </row>
    <row r="83" spans="1:28" x14ac:dyDescent="0.3">
      <c r="A83" s="3"/>
      <c r="B83" s="309"/>
      <c r="C83" s="54" t="s">
        <v>237</v>
      </c>
      <c r="D83" s="135"/>
      <c r="E83" s="152"/>
      <c r="F83" s="236"/>
      <c r="G83" s="88"/>
      <c r="O83"/>
      <c r="P83"/>
      <c r="Q83"/>
      <c r="R83"/>
      <c r="S83"/>
      <c r="T83"/>
      <c r="U83"/>
      <c r="V83"/>
      <c r="W83"/>
      <c r="X83"/>
      <c r="Y83"/>
      <c r="Z83"/>
      <c r="AA83"/>
      <c r="AB83"/>
    </row>
    <row r="84" spans="1:28" ht="42" x14ac:dyDescent="0.3">
      <c r="A84" s="3"/>
      <c r="B84" s="309"/>
      <c r="C84" s="5" t="s">
        <v>408</v>
      </c>
      <c r="D84" s="135">
        <v>28.43</v>
      </c>
      <c r="E84" s="152">
        <v>-27.81</v>
      </c>
      <c r="F84" s="236" t="s">
        <v>682</v>
      </c>
      <c r="G84" s="152" t="s">
        <v>959</v>
      </c>
      <c r="O84"/>
      <c r="P84"/>
      <c r="Q84"/>
      <c r="R84"/>
      <c r="S84"/>
      <c r="T84"/>
      <c r="U84"/>
      <c r="V84"/>
      <c r="W84"/>
      <c r="X84"/>
      <c r="Y84"/>
      <c r="Z84"/>
      <c r="AA84"/>
      <c r="AB84"/>
    </row>
    <row r="85" spans="1:28" hidden="1" x14ac:dyDescent="0.3">
      <c r="A85" s="3"/>
      <c r="B85" s="298"/>
      <c r="C85" s="54" t="s">
        <v>295</v>
      </c>
      <c r="D85" s="140">
        <f>AVERAGE(D84:D84)</f>
        <v>28.43</v>
      </c>
      <c r="E85" s="164">
        <v>-27.81</v>
      </c>
      <c r="F85" s="172"/>
      <c r="G85" s="88"/>
      <c r="H85" s="1">
        <v>289.94</v>
      </c>
      <c r="I85" s="1">
        <f>833.73+6667.57</f>
        <v>7501.2999999999993</v>
      </c>
      <c r="J85" s="1">
        <v>750130000</v>
      </c>
      <c r="O85"/>
      <c r="P85"/>
      <c r="Q85"/>
      <c r="R85"/>
      <c r="S85"/>
      <c r="T85"/>
      <c r="U85"/>
      <c r="V85"/>
      <c r="W85"/>
      <c r="X85"/>
      <c r="Y85"/>
      <c r="Z85"/>
      <c r="AA85"/>
      <c r="AB85"/>
    </row>
    <row r="86" spans="1:28" x14ac:dyDescent="0.3">
      <c r="A86" s="3"/>
      <c r="B86" s="297" t="s">
        <v>60</v>
      </c>
      <c r="C86" s="54" t="s">
        <v>407</v>
      </c>
      <c r="D86" s="142">
        <v>0.1552</v>
      </c>
      <c r="E86" s="154">
        <v>9.2700000000000005E-2</v>
      </c>
      <c r="F86" s="240">
        <f>H85/I85</f>
        <v>3.8651966992387987E-2</v>
      </c>
      <c r="G86" s="110">
        <v>2.47E-2</v>
      </c>
      <c r="O86"/>
      <c r="P86"/>
      <c r="Q86"/>
      <c r="R86"/>
      <c r="S86"/>
      <c r="T86"/>
      <c r="U86"/>
      <c r="V86"/>
      <c r="W86"/>
      <c r="X86"/>
      <c r="Y86"/>
      <c r="Z86"/>
      <c r="AA86"/>
      <c r="AB86"/>
    </row>
    <row r="87" spans="1:28" x14ac:dyDescent="0.3">
      <c r="A87" s="3"/>
      <c r="B87" s="309"/>
      <c r="C87" s="54" t="s">
        <v>237</v>
      </c>
      <c r="D87" s="125"/>
      <c r="E87" s="152"/>
      <c r="F87" s="236"/>
      <c r="G87" s="88"/>
      <c r="O87"/>
      <c r="P87"/>
      <c r="Q87"/>
      <c r="R87"/>
      <c r="S87"/>
      <c r="T87"/>
      <c r="U87"/>
      <c r="V87"/>
      <c r="W87"/>
      <c r="X87"/>
      <c r="Y87"/>
      <c r="Z87"/>
      <c r="AA87"/>
      <c r="AB87"/>
    </row>
    <row r="88" spans="1:28" ht="42" x14ac:dyDescent="0.3">
      <c r="A88" s="3"/>
      <c r="B88" s="309"/>
      <c r="C88" s="5" t="s">
        <v>408</v>
      </c>
      <c r="D88" s="142" t="s">
        <v>121</v>
      </c>
      <c r="E88" s="152">
        <v>-0.67</v>
      </c>
      <c r="F88" s="236" t="s">
        <v>682</v>
      </c>
      <c r="G88" s="152" t="s">
        <v>959</v>
      </c>
      <c r="O88"/>
      <c r="P88"/>
      <c r="Q88"/>
      <c r="R88"/>
      <c r="S88"/>
      <c r="T88"/>
      <c r="U88"/>
      <c r="V88"/>
      <c r="W88"/>
      <c r="X88"/>
      <c r="Y88"/>
      <c r="Z88"/>
      <c r="AA88"/>
      <c r="AB88"/>
    </row>
    <row r="89" spans="1:28" hidden="1" x14ac:dyDescent="0.3">
      <c r="A89" s="3"/>
      <c r="B89" s="298"/>
      <c r="C89" s="54" t="s">
        <v>295</v>
      </c>
      <c r="D89" s="143" t="s">
        <v>121</v>
      </c>
      <c r="E89" s="164">
        <v>-0.67</v>
      </c>
      <c r="F89" s="236"/>
      <c r="G89" s="88"/>
      <c r="O89"/>
      <c r="P89"/>
      <c r="Q89"/>
      <c r="R89"/>
      <c r="S89"/>
      <c r="T89"/>
      <c r="U89"/>
      <c r="V89"/>
      <c r="W89"/>
      <c r="X89"/>
      <c r="Y89"/>
      <c r="Z89"/>
      <c r="AA89"/>
      <c r="AB89"/>
    </row>
    <row r="90" spans="1:28" x14ac:dyDescent="0.3">
      <c r="A90" s="3"/>
      <c r="B90" s="310" t="s">
        <v>61</v>
      </c>
      <c r="C90" s="54" t="s">
        <v>407</v>
      </c>
      <c r="D90" s="135">
        <v>322.27</v>
      </c>
      <c r="E90" s="152">
        <v>101.06</v>
      </c>
      <c r="F90" s="239" t="e">
        <f>J85/Q90</f>
        <v>#DIV/0!</v>
      </c>
      <c r="G90" s="88">
        <v>105.15</v>
      </c>
      <c r="O90"/>
      <c r="P90"/>
      <c r="Q90"/>
      <c r="R90"/>
      <c r="S90"/>
      <c r="T90"/>
      <c r="U90"/>
      <c r="V90"/>
      <c r="W90"/>
      <c r="X90"/>
      <c r="Y90"/>
      <c r="Z90"/>
      <c r="AA90"/>
      <c r="AB90"/>
    </row>
    <row r="91" spans="1:28" x14ac:dyDescent="0.3">
      <c r="A91" s="3"/>
      <c r="B91" s="310"/>
      <c r="C91" s="54" t="s">
        <v>237</v>
      </c>
      <c r="D91" s="135"/>
      <c r="E91" s="152"/>
      <c r="F91" s="236"/>
      <c r="G91" s="88"/>
      <c r="O91"/>
      <c r="P91"/>
      <c r="Q91"/>
      <c r="R91"/>
      <c r="S91"/>
      <c r="T91"/>
      <c r="U91"/>
      <c r="V91"/>
      <c r="W91"/>
      <c r="X91"/>
      <c r="Y91"/>
      <c r="Z91"/>
      <c r="AA91"/>
      <c r="AB91"/>
    </row>
    <row r="92" spans="1:28" ht="42" x14ac:dyDescent="0.3">
      <c r="A92" s="3"/>
      <c r="B92" s="310"/>
      <c r="C92" s="5" t="s">
        <v>408</v>
      </c>
      <c r="D92" s="135">
        <v>471.86</v>
      </c>
      <c r="E92" s="152">
        <v>-490.82</v>
      </c>
      <c r="F92" s="236" t="s">
        <v>682</v>
      </c>
      <c r="G92" s="152" t="s">
        <v>959</v>
      </c>
      <c r="O92"/>
      <c r="P92"/>
      <c r="Q92"/>
      <c r="R92"/>
      <c r="S92"/>
      <c r="T92"/>
      <c r="U92"/>
      <c r="V92"/>
      <c r="W92"/>
      <c r="X92"/>
      <c r="Y92"/>
      <c r="Z92"/>
      <c r="AA92"/>
      <c r="AB92"/>
    </row>
    <row r="93" spans="1:28" hidden="1" x14ac:dyDescent="0.35">
      <c r="A93" s="3"/>
      <c r="B93" s="310"/>
      <c r="C93" s="54" t="s">
        <v>295</v>
      </c>
      <c r="D93" s="144">
        <f>AVERAGE(D92:D92)</f>
        <v>471.86</v>
      </c>
      <c r="E93" s="164">
        <v>-490.82</v>
      </c>
      <c r="F93" s="88"/>
      <c r="G93" s="241"/>
      <c r="O93"/>
      <c r="P93"/>
      <c r="Q93"/>
      <c r="R93"/>
      <c r="S93"/>
      <c r="T93"/>
      <c r="U93"/>
      <c r="V93"/>
      <c r="W93"/>
      <c r="X93"/>
      <c r="Y93"/>
      <c r="Z93"/>
      <c r="AA93"/>
      <c r="AB93"/>
    </row>
    <row r="94" spans="1:28" x14ac:dyDescent="0.3">
      <c r="A94" s="3"/>
      <c r="B94" s="301" t="s">
        <v>683</v>
      </c>
      <c r="C94" s="302"/>
      <c r="D94" s="302"/>
      <c r="E94" s="302"/>
      <c r="F94" s="302"/>
      <c r="G94" s="303"/>
      <c r="O94"/>
      <c r="P94"/>
      <c r="Q94"/>
      <c r="R94"/>
      <c r="S94"/>
      <c r="T94"/>
      <c r="U94"/>
      <c r="V94"/>
      <c r="W94"/>
      <c r="X94"/>
      <c r="Y94"/>
      <c r="Z94"/>
      <c r="AA94"/>
      <c r="AB94"/>
    </row>
    <row r="95" spans="1:28" s="2" customFormat="1" x14ac:dyDescent="0.3">
      <c r="B95" s="253" t="s">
        <v>82</v>
      </c>
      <c r="C95" s="270"/>
      <c r="D95" s="270"/>
      <c r="E95" s="270"/>
      <c r="F95" s="270"/>
      <c r="G95" s="254"/>
      <c r="O95"/>
      <c r="P95"/>
      <c r="Q95"/>
      <c r="R95"/>
      <c r="S95"/>
      <c r="T95"/>
      <c r="U95"/>
      <c r="V95"/>
      <c r="W95"/>
      <c r="X95"/>
      <c r="Y95"/>
      <c r="Z95"/>
      <c r="AA95"/>
      <c r="AB95"/>
    </row>
    <row r="96" spans="1:28" x14ac:dyDescent="0.3">
      <c r="A96" s="3"/>
      <c r="B96" s="253" t="s">
        <v>571</v>
      </c>
      <c r="C96" s="270"/>
      <c r="D96" s="270"/>
      <c r="E96" s="270"/>
      <c r="F96" s="270"/>
      <c r="G96" s="254"/>
      <c r="O96"/>
      <c r="P96"/>
      <c r="Q96"/>
      <c r="R96"/>
      <c r="S96"/>
      <c r="T96"/>
      <c r="U96"/>
      <c r="V96"/>
      <c r="W96"/>
      <c r="X96"/>
      <c r="Y96"/>
      <c r="Z96"/>
      <c r="AA96"/>
      <c r="AB96"/>
    </row>
    <row r="97" spans="1:28" x14ac:dyDescent="0.3">
      <c r="A97" s="3"/>
      <c r="B97" s="403" t="s">
        <v>960</v>
      </c>
      <c r="C97" s="403"/>
      <c r="D97" s="403"/>
      <c r="E97" s="403"/>
      <c r="F97" s="403"/>
      <c r="G97" s="403"/>
      <c r="O97"/>
      <c r="P97"/>
      <c r="Q97"/>
      <c r="R97"/>
      <c r="S97"/>
      <c r="T97"/>
      <c r="U97"/>
      <c r="V97"/>
      <c r="W97"/>
      <c r="X97"/>
      <c r="Y97"/>
      <c r="Z97"/>
      <c r="AA97"/>
      <c r="AB97"/>
    </row>
    <row r="98" spans="1:28" x14ac:dyDescent="0.3">
      <c r="B98" s="403" t="s">
        <v>951</v>
      </c>
      <c r="C98" s="403"/>
      <c r="D98" s="403"/>
      <c r="E98" s="403"/>
      <c r="F98" s="403"/>
      <c r="G98" s="403"/>
      <c r="O98"/>
      <c r="P98"/>
      <c r="Q98"/>
      <c r="R98"/>
      <c r="S98"/>
      <c r="T98"/>
      <c r="U98"/>
      <c r="V98"/>
      <c r="W98"/>
      <c r="X98"/>
      <c r="Y98"/>
      <c r="Z98"/>
      <c r="AA98"/>
      <c r="AB98"/>
    </row>
    <row r="99" spans="1:28" x14ac:dyDescent="0.3">
      <c r="A99" s="3">
        <v>14</v>
      </c>
      <c r="B99" s="54" t="s">
        <v>63</v>
      </c>
      <c r="C99" s="300" t="s">
        <v>50</v>
      </c>
      <c r="D99" s="300"/>
      <c r="E99" s="300"/>
      <c r="F99" s="300"/>
      <c r="G99" s="300"/>
      <c r="O99"/>
      <c r="P99"/>
      <c r="Q99"/>
      <c r="R99"/>
      <c r="S99"/>
      <c r="T99"/>
      <c r="U99"/>
      <c r="V99"/>
      <c r="W99"/>
      <c r="X99"/>
      <c r="Y99"/>
      <c r="Z99"/>
      <c r="AA99"/>
      <c r="AB99"/>
    </row>
    <row r="100" spans="1:28" x14ac:dyDescent="0.3">
      <c r="C100" s="55"/>
      <c r="D100" s="55"/>
      <c r="E100" s="55"/>
      <c r="F100" s="55"/>
      <c r="G100" s="55"/>
      <c r="O100"/>
      <c r="P100"/>
      <c r="Q100"/>
      <c r="R100"/>
      <c r="S100"/>
      <c r="T100"/>
      <c r="U100"/>
      <c r="V100"/>
      <c r="W100"/>
      <c r="X100"/>
      <c r="Y100"/>
      <c r="Z100"/>
      <c r="AA100"/>
      <c r="AB100"/>
    </row>
    <row r="101" spans="1:28" x14ac:dyDescent="0.3">
      <c r="B101" s="299" t="s">
        <v>409</v>
      </c>
      <c r="C101" s="299"/>
      <c r="D101" s="299"/>
      <c r="E101" s="299"/>
      <c r="F101" s="299"/>
      <c r="G101" s="299"/>
      <c r="H101" s="299"/>
    </row>
    <row r="105" spans="1:28" x14ac:dyDescent="0.3">
      <c r="D105" s="56"/>
      <c r="E105" s="56"/>
    </row>
    <row r="106" spans="1:28" x14ac:dyDescent="0.3">
      <c r="E106" s="56"/>
    </row>
  </sheetData>
  <mergeCells count="63">
    <mergeCell ref="B101:H101"/>
    <mergeCell ref="B86:B89"/>
    <mergeCell ref="B90:B93"/>
    <mergeCell ref="B94:G94"/>
    <mergeCell ref="B95:G95"/>
    <mergeCell ref="B96:G96"/>
    <mergeCell ref="B97:G97"/>
    <mergeCell ref="B98:G98"/>
    <mergeCell ref="C99:G99"/>
    <mergeCell ref="B82:B85"/>
    <mergeCell ref="B70:N70"/>
    <mergeCell ref="B71:F71"/>
    <mergeCell ref="B72:F72"/>
    <mergeCell ref="B73:F73"/>
    <mergeCell ref="B75:G75"/>
    <mergeCell ref="B74:C74"/>
    <mergeCell ref="F66:H66"/>
    <mergeCell ref="I66:K66"/>
    <mergeCell ref="L66:N66"/>
    <mergeCell ref="B78:B81"/>
    <mergeCell ref="B58:E58"/>
    <mergeCell ref="C60:E60"/>
    <mergeCell ref="C61:E61"/>
    <mergeCell ref="C62:E62"/>
    <mergeCell ref="B66:B67"/>
    <mergeCell ref="C66:C67"/>
    <mergeCell ref="D66:D67"/>
    <mergeCell ref="E66:E67"/>
    <mergeCell ref="C57:E57"/>
    <mergeCell ref="B41:E41"/>
    <mergeCell ref="C42:E42"/>
    <mergeCell ref="C43:E43"/>
    <mergeCell ref="C44:E44"/>
    <mergeCell ref="B45:E45"/>
    <mergeCell ref="B47:E47"/>
    <mergeCell ref="B50:E50"/>
    <mergeCell ref="B53:E53"/>
    <mergeCell ref="B54:B55"/>
    <mergeCell ref="C54:E55"/>
    <mergeCell ref="C56:E56"/>
    <mergeCell ref="B51:E51"/>
    <mergeCell ref="B39:D39"/>
    <mergeCell ref="C21:E21"/>
    <mergeCell ref="C22:E22"/>
    <mergeCell ref="C23:E23"/>
    <mergeCell ref="C24:E24"/>
    <mergeCell ref="B26:E26"/>
    <mergeCell ref="B27:E27"/>
    <mergeCell ref="B33:E33"/>
    <mergeCell ref="B35:E35"/>
    <mergeCell ref="B25:E25"/>
    <mergeCell ref="C20:E20"/>
    <mergeCell ref="A1:B1"/>
    <mergeCell ref="C3:E3"/>
    <mergeCell ref="C5:E5"/>
    <mergeCell ref="B6:D6"/>
    <mergeCell ref="B9:D9"/>
    <mergeCell ref="C11:E11"/>
    <mergeCell ref="B12:D12"/>
    <mergeCell ref="C14:E14"/>
    <mergeCell ref="B15:D15"/>
    <mergeCell ref="B17:C17"/>
    <mergeCell ref="B19:E19"/>
  </mergeCells>
  <pageMargins left="0.70866141732283472" right="0.70866141732283472" top="0.74803149606299213" bottom="0.74803149606299213" header="0.31496062992125984" footer="0.31496062992125984"/>
  <pageSetup paperSize="9" scale="27" fitToWidth="70" fitToHeight="2" orientation="landscape" horizontalDpi="4294967292"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E94E0-E720-42CF-B06A-A408159A2E44}">
  <sheetPr>
    <pageSetUpPr fitToPage="1"/>
  </sheetPr>
  <dimension ref="A1:N123"/>
  <sheetViews>
    <sheetView topLeftCell="A79" zoomScale="47" zoomScaleNormal="44" workbookViewId="0">
      <selection activeCell="D96" sqref="D96"/>
    </sheetView>
  </sheetViews>
  <sheetFormatPr defaultColWidth="8.6640625" defaultRowHeight="21" x14ac:dyDescent="0.3"/>
  <cols>
    <col min="1" max="1" width="8.6640625" style="1"/>
    <col min="2" max="2" width="58.33203125" style="1" customWidth="1"/>
    <col min="3" max="3" width="75.88671875" style="1" customWidth="1"/>
    <col min="4" max="4" width="73.109375" style="1" customWidth="1"/>
    <col min="5" max="5" width="27.6640625" style="1" customWidth="1"/>
    <col min="6" max="6" width="21.33203125" style="1" customWidth="1"/>
    <col min="7" max="7" width="25.109375" style="1" customWidth="1"/>
    <col min="8" max="8" width="22.6640625" style="1" customWidth="1"/>
    <col min="9" max="9" width="15.21875" style="1" customWidth="1"/>
    <col min="10" max="10" width="15.88671875" style="1" customWidth="1"/>
    <col min="11" max="11" width="18" style="1" customWidth="1"/>
    <col min="12" max="14" width="13.5546875" style="1" bestFit="1" customWidth="1"/>
    <col min="15" max="16384" width="8.6640625" style="1"/>
  </cols>
  <sheetData>
    <row r="1" spans="1:5" ht="20.25" customHeight="1" x14ac:dyDescent="0.3">
      <c r="A1" s="246" t="s">
        <v>0</v>
      </c>
      <c r="B1" s="246"/>
      <c r="D1" s="2"/>
    </row>
    <row r="3" spans="1:5" ht="40.799999999999997" x14ac:dyDescent="0.3">
      <c r="A3" s="3" t="s">
        <v>1</v>
      </c>
      <c r="B3" s="54" t="s">
        <v>2</v>
      </c>
      <c r="C3" s="300" t="s">
        <v>410</v>
      </c>
      <c r="D3" s="300"/>
      <c r="E3" s="300"/>
    </row>
    <row r="4" spans="1:5" x14ac:dyDescent="0.3">
      <c r="D4" s="22"/>
    </row>
    <row r="5" spans="1:5" x14ac:dyDescent="0.3">
      <c r="A5" s="62">
        <v>1</v>
      </c>
      <c r="B5" s="63" t="s">
        <v>3</v>
      </c>
      <c r="C5" s="247" t="s">
        <v>529</v>
      </c>
      <c r="D5" s="248"/>
      <c r="E5" s="249"/>
    </row>
    <row r="6" spans="1:5" x14ac:dyDescent="0.3">
      <c r="A6" s="3"/>
      <c r="B6" s="250" t="s">
        <v>4</v>
      </c>
      <c r="C6" s="251"/>
      <c r="D6" s="252"/>
      <c r="E6" s="10"/>
    </row>
    <row r="7" spans="1:5" x14ac:dyDescent="0.3">
      <c r="A7" s="3"/>
      <c r="B7" s="2"/>
      <c r="D7" s="22"/>
    </row>
    <row r="8" spans="1:5" x14ac:dyDescent="0.3">
      <c r="A8" s="3">
        <v>2</v>
      </c>
      <c r="B8" s="63" t="s">
        <v>5</v>
      </c>
      <c r="C8" s="12" t="s">
        <v>411</v>
      </c>
      <c r="D8" s="22"/>
    </row>
    <row r="9" spans="1:5" x14ac:dyDescent="0.3">
      <c r="A9" s="3"/>
      <c r="B9" s="250" t="s">
        <v>4</v>
      </c>
      <c r="C9" s="251"/>
      <c r="D9" s="252"/>
    </row>
    <row r="10" spans="1:5" x14ac:dyDescent="0.3">
      <c r="A10" s="3"/>
      <c r="B10" s="2"/>
      <c r="D10" s="22"/>
    </row>
    <row r="11" spans="1:5" ht="40.950000000000003" customHeight="1" x14ac:dyDescent="0.3">
      <c r="A11" s="3">
        <v>3</v>
      </c>
      <c r="B11" s="63" t="s">
        <v>6</v>
      </c>
      <c r="C11" s="247" t="s">
        <v>90</v>
      </c>
      <c r="D11" s="248"/>
      <c r="E11" s="249"/>
    </row>
    <row r="12" spans="1:5" x14ac:dyDescent="0.3">
      <c r="A12" s="3"/>
      <c r="B12" s="250" t="s">
        <v>4</v>
      </c>
      <c r="C12" s="251"/>
      <c r="D12" s="252"/>
      <c r="E12" s="10"/>
    </row>
    <row r="13" spans="1:5" x14ac:dyDescent="0.3">
      <c r="A13" s="3"/>
      <c r="B13" s="2"/>
      <c r="D13" s="22"/>
    </row>
    <row r="14" spans="1:5" x14ac:dyDescent="0.3">
      <c r="A14" s="3">
        <v>4</v>
      </c>
      <c r="B14" s="54" t="s">
        <v>92</v>
      </c>
      <c r="C14" s="247" t="s">
        <v>464</v>
      </c>
      <c r="D14" s="248"/>
      <c r="E14" s="249"/>
    </row>
    <row r="15" spans="1:5" x14ac:dyDescent="0.3">
      <c r="A15" s="3"/>
      <c r="B15" s="250" t="s">
        <v>4</v>
      </c>
      <c r="C15" s="251"/>
      <c r="D15" s="252"/>
    </row>
    <row r="16" spans="1:5" x14ac:dyDescent="0.3">
      <c r="A16" s="3">
        <v>4</v>
      </c>
      <c r="B16" s="54" t="s">
        <v>7</v>
      </c>
      <c r="C16" s="5" t="s">
        <v>423</v>
      </c>
      <c r="D16" s="22"/>
    </row>
    <row r="17" spans="1:14" x14ac:dyDescent="0.3">
      <c r="A17" s="3"/>
      <c r="B17" s="253" t="s">
        <v>8</v>
      </c>
      <c r="C17" s="254"/>
      <c r="D17" s="22"/>
    </row>
    <row r="18" spans="1:14" x14ac:dyDescent="0.3">
      <c r="A18" s="3"/>
      <c r="D18" s="22"/>
    </row>
    <row r="19" spans="1:14" x14ac:dyDescent="0.3">
      <c r="A19" s="3">
        <v>5</v>
      </c>
      <c r="B19" s="255" t="s">
        <v>9</v>
      </c>
      <c r="C19" s="256"/>
      <c r="D19" s="256"/>
      <c r="E19" s="257"/>
      <c r="F19" s="2"/>
      <c r="G19" s="2"/>
      <c r="H19" s="2"/>
      <c r="I19" s="2"/>
      <c r="J19" s="10"/>
      <c r="K19" s="10"/>
      <c r="L19" s="10"/>
      <c r="M19" s="10"/>
      <c r="N19" s="10"/>
    </row>
    <row r="20" spans="1:14" x14ac:dyDescent="0.3">
      <c r="A20" s="3"/>
      <c r="B20" s="65" t="s">
        <v>10</v>
      </c>
      <c r="C20" s="454">
        <v>7.6600000000000001E-2</v>
      </c>
      <c r="D20" s="455"/>
      <c r="E20" s="456"/>
      <c r="F20" s="66"/>
      <c r="G20" s="10"/>
      <c r="H20" s="10"/>
      <c r="I20" s="10"/>
      <c r="J20" s="10"/>
      <c r="K20" s="10"/>
      <c r="L20" s="10"/>
      <c r="M20" s="10"/>
      <c r="N20" s="10"/>
    </row>
    <row r="21" spans="1:14" ht="61.2" x14ac:dyDescent="0.3">
      <c r="A21" s="3"/>
      <c r="B21" s="65" t="s">
        <v>453</v>
      </c>
      <c r="C21" s="243">
        <v>6.4600000000000005E-2</v>
      </c>
      <c r="D21" s="244"/>
      <c r="E21" s="245"/>
      <c r="F21" s="66"/>
      <c r="G21" s="10"/>
      <c r="I21" s="10"/>
      <c r="J21" s="10"/>
      <c r="K21" s="10"/>
      <c r="L21" s="10"/>
      <c r="M21" s="10"/>
      <c r="N21" s="10"/>
    </row>
    <row r="22" spans="1:14" x14ac:dyDescent="0.3">
      <c r="A22" s="3"/>
      <c r="B22" s="65" t="s">
        <v>243</v>
      </c>
      <c r="C22" s="243">
        <v>6.4600000000000005E-2</v>
      </c>
      <c r="D22" s="244"/>
      <c r="E22" s="245"/>
      <c r="F22" s="66"/>
      <c r="G22" s="10"/>
      <c r="H22" s="10"/>
      <c r="I22" s="10"/>
      <c r="J22" s="10"/>
      <c r="K22" s="10"/>
      <c r="L22" s="10"/>
      <c r="M22" s="10"/>
      <c r="N22" s="10"/>
    </row>
    <row r="23" spans="1:14" x14ac:dyDescent="0.3">
      <c r="A23" s="3"/>
      <c r="B23" s="64" t="s">
        <v>252</v>
      </c>
      <c r="C23" s="243">
        <v>2.63E-2</v>
      </c>
      <c r="D23" s="244"/>
      <c r="E23" s="245"/>
      <c r="F23" s="66"/>
      <c r="G23" s="10"/>
      <c r="H23" s="10"/>
      <c r="I23" s="10"/>
      <c r="J23" s="10"/>
      <c r="K23" s="10"/>
      <c r="L23" s="10"/>
      <c r="M23" s="10"/>
      <c r="N23" s="10"/>
    </row>
    <row r="24" spans="1:14" x14ac:dyDescent="0.3">
      <c r="A24" s="3"/>
      <c r="B24" s="67" t="s">
        <v>253</v>
      </c>
      <c r="C24" s="400">
        <v>1.7000000000000001E-2</v>
      </c>
      <c r="D24" s="401"/>
      <c r="E24" s="401"/>
      <c r="F24" s="66"/>
      <c r="G24" s="10"/>
      <c r="H24" s="10"/>
      <c r="I24" s="10"/>
      <c r="J24" s="10"/>
      <c r="K24" s="10"/>
      <c r="L24" s="10"/>
      <c r="M24" s="10"/>
      <c r="N24" s="10"/>
    </row>
    <row r="25" spans="1:14" ht="40.5" customHeight="1" x14ac:dyDescent="0.3">
      <c r="A25" s="3"/>
      <c r="B25" s="262" t="s">
        <v>793</v>
      </c>
      <c r="C25" s="262"/>
      <c r="D25" s="262"/>
      <c r="E25" s="262"/>
      <c r="F25" s="66"/>
      <c r="G25" s="10"/>
      <c r="H25" s="10"/>
      <c r="I25" s="10"/>
      <c r="J25" s="10"/>
      <c r="K25" s="10"/>
      <c r="L25" s="10"/>
      <c r="M25" s="10"/>
      <c r="N25" s="10"/>
    </row>
    <row r="26" spans="1:14" x14ac:dyDescent="0.3">
      <c r="A26" s="3">
        <v>6</v>
      </c>
      <c r="B26" s="261" t="s">
        <v>74</v>
      </c>
      <c r="C26" s="262"/>
      <c r="D26" s="262"/>
      <c r="E26" s="263"/>
      <c r="F26" s="2"/>
      <c r="G26" s="2"/>
      <c r="H26" s="10"/>
      <c r="I26" s="2"/>
      <c r="J26" s="2"/>
    </row>
    <row r="27" spans="1:14" x14ac:dyDescent="0.3">
      <c r="A27" s="3"/>
      <c r="B27" s="264" t="s">
        <v>462</v>
      </c>
      <c r="C27" s="265"/>
      <c r="D27" s="265"/>
      <c r="E27" s="266"/>
      <c r="F27" s="66"/>
    </row>
    <row r="28" spans="1:14" x14ac:dyDescent="0.3">
      <c r="A28" s="3"/>
      <c r="B28" s="67" t="s">
        <v>454</v>
      </c>
      <c r="C28" s="25" t="s">
        <v>244</v>
      </c>
      <c r="D28" s="25" t="s">
        <v>245</v>
      </c>
      <c r="E28" s="25" t="s">
        <v>246</v>
      </c>
      <c r="F28" s="66"/>
    </row>
    <row r="29" spans="1:14" ht="20.7" customHeight="1" x14ac:dyDescent="0.3">
      <c r="A29" s="3"/>
      <c r="B29" s="68" t="s">
        <v>21</v>
      </c>
      <c r="C29" s="127">
        <v>13798.29</v>
      </c>
      <c r="D29" s="127">
        <v>10064.16</v>
      </c>
      <c r="E29" s="127">
        <v>14494.53</v>
      </c>
      <c r="F29" s="66"/>
    </row>
    <row r="30" spans="1:14" x14ac:dyDescent="0.3">
      <c r="A30" s="3"/>
      <c r="B30" s="68" t="s">
        <v>23</v>
      </c>
      <c r="C30" s="127">
        <v>743.05</v>
      </c>
      <c r="D30" s="27">
        <v>480.97</v>
      </c>
      <c r="E30" s="27">
        <v>570.86</v>
      </c>
      <c r="F30" s="66"/>
    </row>
    <row r="31" spans="1:14" x14ac:dyDescent="0.3">
      <c r="A31" s="3"/>
      <c r="B31" s="68" t="s">
        <v>24</v>
      </c>
      <c r="C31" s="127">
        <v>300</v>
      </c>
      <c r="D31" s="27">
        <v>300</v>
      </c>
      <c r="E31" s="27">
        <v>300</v>
      </c>
      <c r="F31" s="66"/>
      <c r="H31" s="194"/>
    </row>
    <row r="32" spans="1:14" x14ac:dyDescent="0.3">
      <c r="A32" s="3"/>
      <c r="B32" s="68" t="s">
        <v>25</v>
      </c>
      <c r="C32" s="127">
        <v>3660.9</v>
      </c>
      <c r="D32" s="127">
        <v>4107.03</v>
      </c>
      <c r="E32" s="127">
        <v>4690.8599999999997</v>
      </c>
      <c r="F32" s="66"/>
    </row>
    <row r="33" spans="1:10" x14ac:dyDescent="0.3">
      <c r="A33" s="3"/>
      <c r="B33" s="253" t="s">
        <v>800</v>
      </c>
      <c r="C33" s="270"/>
      <c r="D33" s="270"/>
      <c r="E33" s="254"/>
      <c r="F33" s="66"/>
    </row>
    <row r="34" spans="1:10" x14ac:dyDescent="0.3">
      <c r="A34" s="3"/>
      <c r="B34" s="10"/>
      <c r="C34" s="66"/>
      <c r="D34" s="66"/>
      <c r="E34" s="66"/>
      <c r="F34" s="66"/>
    </row>
    <row r="35" spans="1:10" ht="41.7" customHeight="1" x14ac:dyDescent="0.3">
      <c r="A35" s="3">
        <v>7</v>
      </c>
      <c r="B35" s="261" t="s">
        <v>26</v>
      </c>
      <c r="C35" s="262"/>
      <c r="D35" s="262"/>
      <c r="E35" s="263"/>
      <c r="F35" s="2"/>
      <c r="G35" s="2"/>
      <c r="H35" s="2"/>
      <c r="I35" s="2"/>
      <c r="J35" s="2"/>
    </row>
    <row r="36" spans="1:10" ht="41.7" customHeight="1" x14ac:dyDescent="0.3">
      <c r="A36" s="3"/>
      <c r="B36" s="310" t="s">
        <v>463</v>
      </c>
      <c r="C36" s="310"/>
      <c r="D36" s="310"/>
      <c r="E36" s="310"/>
      <c r="F36" s="2"/>
      <c r="G36" s="2"/>
      <c r="H36" s="2"/>
      <c r="I36" s="2"/>
      <c r="J36" s="2"/>
    </row>
    <row r="37" spans="1:10" x14ac:dyDescent="0.3">
      <c r="A37" s="3"/>
      <c r="B37" s="147" t="s">
        <v>247</v>
      </c>
      <c r="C37" s="27" t="s">
        <v>455</v>
      </c>
      <c r="D37" s="5"/>
      <c r="E37" s="5"/>
      <c r="F37" s="10"/>
    </row>
    <row r="38" spans="1:10" x14ac:dyDescent="0.3">
      <c r="A38" s="3"/>
      <c r="B38" s="67" t="s">
        <v>28</v>
      </c>
      <c r="C38" s="27" t="s">
        <v>93</v>
      </c>
      <c r="D38" s="68"/>
      <c r="E38" s="68"/>
      <c r="F38" s="10"/>
    </row>
    <row r="39" spans="1:10" x14ac:dyDescent="0.3">
      <c r="A39" s="3"/>
      <c r="B39" s="67" t="s">
        <v>29</v>
      </c>
      <c r="C39" s="27" t="s">
        <v>93</v>
      </c>
      <c r="D39" s="68"/>
      <c r="E39" s="68"/>
      <c r="F39" s="10"/>
    </row>
    <row r="40" spans="1:10" ht="42" customHeight="1" x14ac:dyDescent="0.3">
      <c r="A40" s="3"/>
      <c r="B40" s="271" t="s">
        <v>412</v>
      </c>
      <c r="C40" s="271"/>
      <c r="D40" s="271"/>
      <c r="E40" s="10"/>
      <c r="F40" s="10"/>
    </row>
    <row r="41" spans="1:10" x14ac:dyDescent="0.3">
      <c r="A41" s="3"/>
      <c r="B41" s="66"/>
      <c r="C41" s="10"/>
      <c r="D41" s="10"/>
      <c r="E41" s="10"/>
      <c r="F41" s="10"/>
    </row>
    <row r="42" spans="1:10" x14ac:dyDescent="0.3">
      <c r="A42" s="3">
        <v>8</v>
      </c>
      <c r="B42" s="261" t="s">
        <v>30</v>
      </c>
      <c r="C42" s="262"/>
      <c r="D42" s="262"/>
      <c r="E42" s="263"/>
      <c r="F42" s="2"/>
      <c r="G42" s="2"/>
      <c r="H42" s="2"/>
      <c r="I42" s="2"/>
      <c r="J42" s="2"/>
    </row>
    <row r="43" spans="1:10" x14ac:dyDescent="0.3">
      <c r="A43" s="3"/>
      <c r="B43" s="67" t="s">
        <v>31</v>
      </c>
      <c r="C43" s="258" t="s">
        <v>85</v>
      </c>
      <c r="D43" s="259"/>
      <c r="E43" s="260"/>
      <c r="F43" s="10"/>
    </row>
    <row r="44" spans="1:10" ht="52.2" customHeight="1" x14ac:dyDescent="0.3">
      <c r="A44" s="3"/>
      <c r="B44" s="67" t="s">
        <v>28</v>
      </c>
      <c r="C44" s="258" t="s">
        <v>916</v>
      </c>
      <c r="D44" s="259"/>
      <c r="E44" s="260"/>
      <c r="F44" s="10"/>
    </row>
    <row r="45" spans="1:10" ht="43.2" customHeight="1" x14ac:dyDescent="0.3">
      <c r="A45" s="3"/>
      <c r="B45" s="67" t="s">
        <v>29</v>
      </c>
      <c r="C45" s="258" t="s">
        <v>917</v>
      </c>
      <c r="D45" s="259"/>
      <c r="E45" s="260"/>
      <c r="F45" s="10"/>
    </row>
    <row r="46" spans="1:10" x14ac:dyDescent="0.3">
      <c r="A46" s="3"/>
      <c r="B46" s="253" t="s">
        <v>802</v>
      </c>
      <c r="C46" s="270"/>
      <c r="D46" s="270"/>
      <c r="E46" s="254"/>
      <c r="F46" s="10"/>
    </row>
    <row r="47" spans="1:10" x14ac:dyDescent="0.3">
      <c r="A47" s="3"/>
      <c r="D47" s="22"/>
      <c r="E47" s="10"/>
    </row>
    <row r="48" spans="1:10" ht="83.4" customHeight="1" x14ac:dyDescent="0.3">
      <c r="A48" s="191">
        <v>9</v>
      </c>
      <c r="B48" s="262" t="s">
        <v>32</v>
      </c>
      <c r="C48" s="262"/>
      <c r="D48" s="262"/>
      <c r="E48" s="263"/>
      <c r="F48" s="2"/>
      <c r="G48" s="2"/>
      <c r="H48" s="2"/>
      <c r="I48" s="2"/>
    </row>
    <row r="49" spans="1:11" ht="81.599999999999994" x14ac:dyDescent="0.3">
      <c r="A49" s="191"/>
      <c r="B49" s="24" t="s">
        <v>33</v>
      </c>
      <c r="C49" s="25" t="s">
        <v>34</v>
      </c>
      <c r="D49" s="25" t="s">
        <v>96</v>
      </c>
      <c r="E49" s="25" t="s">
        <v>35</v>
      </c>
    </row>
    <row r="50" spans="1:11" ht="166.2" customHeight="1" x14ac:dyDescent="0.3">
      <c r="A50" s="191"/>
      <c r="B50" s="189" t="s">
        <v>413</v>
      </c>
      <c r="C50" s="27" t="s">
        <v>883</v>
      </c>
      <c r="D50" s="27" t="s">
        <v>884</v>
      </c>
      <c r="E50" s="27" t="s">
        <v>121</v>
      </c>
    </row>
    <row r="51" spans="1:11" ht="47.4" customHeight="1" x14ac:dyDescent="0.4">
      <c r="A51" s="191"/>
      <c r="B51" s="457" t="s">
        <v>567</v>
      </c>
      <c r="C51" s="457"/>
      <c r="D51" s="457"/>
      <c r="E51" s="189"/>
    </row>
    <row r="52" spans="1:11" ht="47.4" customHeight="1" x14ac:dyDescent="0.3">
      <c r="A52" s="191"/>
      <c r="B52" s="270" t="s">
        <v>568</v>
      </c>
      <c r="C52" s="270"/>
      <c r="D52" s="270"/>
      <c r="E52" s="254"/>
    </row>
    <row r="53" spans="1:11" x14ac:dyDescent="0.3">
      <c r="A53" s="191"/>
      <c r="B53" s="242"/>
      <c r="C53" s="242"/>
      <c r="D53" s="270"/>
      <c r="E53" s="254"/>
    </row>
    <row r="54" spans="1:11" hidden="1" x14ac:dyDescent="0.3">
      <c r="A54" s="191"/>
      <c r="B54" s="160" t="s">
        <v>712</v>
      </c>
      <c r="C54" s="146"/>
      <c r="D54" s="87"/>
      <c r="E54" s="87"/>
    </row>
    <row r="55" spans="1:11" x14ac:dyDescent="0.3">
      <c r="A55" s="191"/>
      <c r="B55" s="28"/>
      <c r="C55" s="22"/>
      <c r="D55" s="22"/>
      <c r="E55" s="22"/>
      <c r="F55" s="66"/>
      <c r="G55" s="222"/>
      <c r="H55" s="66"/>
      <c r="I55" s="66"/>
    </row>
    <row r="56" spans="1:11" ht="43.2" customHeight="1" x14ac:dyDescent="0.3">
      <c r="A56" s="191">
        <v>10</v>
      </c>
      <c r="B56" s="262" t="s">
        <v>32</v>
      </c>
      <c r="C56" s="262"/>
      <c r="D56" s="262"/>
      <c r="E56" s="263"/>
      <c r="F56" s="66"/>
      <c r="G56" s="66"/>
      <c r="H56" s="66"/>
    </row>
    <row r="57" spans="1:11" x14ac:dyDescent="0.3">
      <c r="A57" s="191"/>
      <c r="B57" s="275" t="s">
        <v>36</v>
      </c>
      <c r="C57" s="277" t="s">
        <v>465</v>
      </c>
      <c r="D57" s="278"/>
      <c r="E57" s="279"/>
      <c r="K57" s="2"/>
    </row>
    <row r="58" spans="1:11" ht="100.2" customHeight="1" x14ac:dyDescent="0.3">
      <c r="A58" s="191"/>
      <c r="B58" s="276"/>
      <c r="C58" s="280"/>
      <c r="D58" s="281"/>
      <c r="E58" s="282"/>
      <c r="K58" s="2"/>
    </row>
    <row r="59" spans="1:11" ht="139.94999999999999" customHeight="1" x14ac:dyDescent="0.3">
      <c r="A59" s="191"/>
      <c r="B59" s="29" t="s">
        <v>37</v>
      </c>
      <c r="C59" s="283" t="s">
        <v>713</v>
      </c>
      <c r="D59" s="284"/>
      <c r="E59" s="285"/>
    </row>
    <row r="60" spans="1:11" x14ac:dyDescent="0.3">
      <c r="A60" s="191"/>
      <c r="B60" s="29" t="s">
        <v>38</v>
      </c>
      <c r="C60" s="286" t="s">
        <v>121</v>
      </c>
      <c r="D60" s="287"/>
      <c r="E60" s="288"/>
      <c r="K60" s="30"/>
    </row>
    <row r="61" spans="1:11" x14ac:dyDescent="0.3">
      <c r="A61" s="191"/>
      <c r="B61" s="308"/>
      <c r="C61" s="308"/>
      <c r="D61" s="308"/>
      <c r="E61" s="249"/>
      <c r="K61" s="30"/>
    </row>
    <row r="62" spans="1:11" s="32" customFormat="1" x14ac:dyDescent="0.4">
      <c r="A62" s="111" t="s">
        <v>39</v>
      </c>
      <c r="B62" s="290" t="s">
        <v>876</v>
      </c>
      <c r="C62" s="290"/>
      <c r="D62" s="290"/>
      <c r="E62" s="291"/>
    </row>
    <row r="63" spans="1:11" x14ac:dyDescent="0.3">
      <c r="A63" s="191"/>
      <c r="B63" s="73"/>
      <c r="C63" s="73"/>
      <c r="D63" s="73"/>
      <c r="E63" s="73"/>
      <c r="F63" s="73"/>
    </row>
    <row r="64" spans="1:11" x14ac:dyDescent="0.3">
      <c r="A64" s="3">
        <v>11</v>
      </c>
      <c r="B64" s="54" t="s">
        <v>41</v>
      </c>
      <c r="C64" s="270" t="s">
        <v>121</v>
      </c>
      <c r="D64" s="270"/>
      <c r="E64" s="270"/>
      <c r="F64" s="2"/>
      <c r="G64" s="2"/>
      <c r="H64" s="74"/>
      <c r="I64" s="2"/>
      <c r="J64" s="2"/>
    </row>
    <row r="65" spans="1:14" ht="20.7" customHeight="1" x14ac:dyDescent="0.3">
      <c r="A65" s="3"/>
      <c r="B65" s="66"/>
      <c r="C65" s="270"/>
      <c r="D65" s="270"/>
      <c r="E65" s="270"/>
      <c r="F65" s="66"/>
      <c r="G65" s="66"/>
      <c r="H65" s="75"/>
      <c r="I65" s="75"/>
      <c r="J65" s="66"/>
    </row>
    <row r="66" spans="1:14" s="42" customFormat="1" x14ac:dyDescent="0.3">
      <c r="A66" s="76">
        <v>12</v>
      </c>
      <c r="B66" s="77" t="s">
        <v>42</v>
      </c>
      <c r="C66" s="272"/>
      <c r="D66" s="273"/>
      <c r="E66" s="274"/>
      <c r="F66" s="78"/>
      <c r="G66" s="79"/>
      <c r="H66" s="79"/>
      <c r="I66" s="79"/>
      <c r="J66" s="79"/>
      <c r="K66" s="79"/>
      <c r="L66" s="79"/>
      <c r="M66" s="79"/>
      <c r="N66" s="79"/>
    </row>
    <row r="67" spans="1:14" x14ac:dyDescent="0.3">
      <c r="A67" s="3"/>
      <c r="B67" s="2"/>
      <c r="C67" s="2"/>
      <c r="D67" s="2"/>
      <c r="E67" s="74"/>
      <c r="F67" s="74"/>
      <c r="G67" s="74"/>
      <c r="H67" s="2"/>
      <c r="I67" s="2"/>
      <c r="J67" s="2"/>
      <c r="K67" s="2"/>
      <c r="L67" s="2"/>
      <c r="M67" s="2"/>
      <c r="N67" s="2"/>
    </row>
    <row r="68" spans="1:14" x14ac:dyDescent="0.3">
      <c r="A68" s="3"/>
      <c r="B68" s="67" t="s">
        <v>43</v>
      </c>
      <c r="C68" s="68" t="s">
        <v>414</v>
      </c>
      <c r="D68" s="66"/>
      <c r="E68" s="66"/>
      <c r="F68" s="75"/>
      <c r="G68" s="75"/>
      <c r="H68" s="66"/>
      <c r="I68" s="66"/>
      <c r="J68" s="66"/>
      <c r="K68" s="66"/>
      <c r="L68" s="66"/>
      <c r="M68" s="66"/>
      <c r="N68" s="66"/>
    </row>
    <row r="69" spans="1:14" x14ac:dyDescent="0.3">
      <c r="A69" s="3"/>
      <c r="B69" s="66"/>
      <c r="C69" s="66"/>
      <c r="D69" s="66"/>
      <c r="E69" s="66"/>
      <c r="F69" s="66"/>
      <c r="G69" s="66"/>
      <c r="H69" s="66"/>
      <c r="I69" s="66"/>
      <c r="J69" s="66"/>
      <c r="K69" s="66"/>
      <c r="L69" s="66"/>
      <c r="M69" s="66"/>
      <c r="N69" s="66"/>
    </row>
    <row r="70" spans="1:14" ht="87.6" customHeight="1" x14ac:dyDescent="0.3">
      <c r="A70" s="3"/>
      <c r="B70" s="295" t="s">
        <v>44</v>
      </c>
      <c r="C70" s="295" t="s">
        <v>466</v>
      </c>
      <c r="D70" s="295" t="s">
        <v>68</v>
      </c>
      <c r="E70" s="297" t="s">
        <v>45</v>
      </c>
      <c r="F70" s="292" t="s">
        <v>254</v>
      </c>
      <c r="G70" s="293"/>
      <c r="H70" s="294"/>
      <c r="I70" s="292" t="s">
        <v>255</v>
      </c>
      <c r="J70" s="293"/>
      <c r="K70" s="294"/>
      <c r="L70" s="292" t="s">
        <v>197</v>
      </c>
      <c r="M70" s="293"/>
      <c r="N70" s="294"/>
    </row>
    <row r="71" spans="1:14" ht="61.2" x14ac:dyDescent="0.3">
      <c r="A71" s="3"/>
      <c r="B71" s="296"/>
      <c r="C71" s="296"/>
      <c r="D71" s="296"/>
      <c r="E71" s="298"/>
      <c r="F71" s="67" t="s">
        <v>46</v>
      </c>
      <c r="G71" s="67" t="s">
        <v>47</v>
      </c>
      <c r="H71" s="67" t="s">
        <v>48</v>
      </c>
      <c r="I71" s="67" t="s">
        <v>49</v>
      </c>
      <c r="J71" s="67" t="s">
        <v>47</v>
      </c>
      <c r="K71" s="67" t="s">
        <v>48</v>
      </c>
      <c r="L71" s="67" t="s">
        <v>49</v>
      </c>
      <c r="M71" s="67" t="s">
        <v>47</v>
      </c>
      <c r="N71" s="67" t="s">
        <v>48</v>
      </c>
    </row>
    <row r="72" spans="1:14" ht="105" customHeight="1" x14ac:dyDescent="0.3">
      <c r="A72" s="3"/>
      <c r="B72" s="67" t="s">
        <v>66</v>
      </c>
      <c r="C72" s="82">
        <v>42.25</v>
      </c>
      <c r="D72" s="82">
        <v>37.950000000000003</v>
      </c>
      <c r="E72" s="82">
        <v>31.75</v>
      </c>
      <c r="F72" s="121">
        <v>36.5</v>
      </c>
      <c r="G72" s="121">
        <v>42.8</v>
      </c>
      <c r="H72" s="121">
        <v>36.1</v>
      </c>
      <c r="I72" s="121">
        <v>32.659999999999997</v>
      </c>
      <c r="J72" s="121">
        <v>56.52</v>
      </c>
      <c r="K72" s="121">
        <v>30</v>
      </c>
      <c r="L72" s="121">
        <v>18.489999999999998</v>
      </c>
      <c r="M72" s="121">
        <v>34.57</v>
      </c>
      <c r="N72" s="121">
        <v>18.27</v>
      </c>
    </row>
    <row r="73" spans="1:14" ht="40.799999999999997" x14ac:dyDescent="0.3">
      <c r="A73" s="3"/>
      <c r="B73" s="69" t="s">
        <v>67</v>
      </c>
      <c r="C73" s="82">
        <v>22493.55</v>
      </c>
      <c r="D73" s="82">
        <v>22513.7</v>
      </c>
      <c r="E73" s="82">
        <v>22620.35</v>
      </c>
      <c r="F73" s="121">
        <v>22326.9</v>
      </c>
      <c r="G73" s="121">
        <v>22526.6</v>
      </c>
      <c r="H73" s="121">
        <v>17312.75</v>
      </c>
      <c r="I73" s="121">
        <v>23519.35</v>
      </c>
      <c r="J73" s="121">
        <v>26277.35</v>
      </c>
      <c r="K73" s="121">
        <v>21281.45</v>
      </c>
      <c r="L73" s="121">
        <v>22331.4</v>
      </c>
      <c r="M73" s="121">
        <v>26373.200000000001</v>
      </c>
      <c r="N73" s="121">
        <v>21743.65</v>
      </c>
    </row>
    <row r="74" spans="1:14" ht="20.25" customHeight="1" x14ac:dyDescent="0.3">
      <c r="A74" s="3"/>
      <c r="B74" s="253" t="s">
        <v>99</v>
      </c>
      <c r="C74" s="270"/>
      <c r="D74" s="270"/>
      <c r="E74" s="270"/>
      <c r="F74" s="270"/>
      <c r="G74" s="270"/>
      <c r="H74" s="270"/>
      <c r="I74" s="270"/>
      <c r="J74" s="270"/>
      <c r="K74" s="270"/>
      <c r="L74" s="270"/>
      <c r="M74" s="270"/>
      <c r="N74" s="254"/>
    </row>
    <row r="75" spans="1:14" ht="20.25" customHeight="1" x14ac:dyDescent="0.3">
      <c r="A75" s="3"/>
      <c r="B75" s="253" t="s">
        <v>801</v>
      </c>
      <c r="C75" s="270"/>
      <c r="D75" s="270"/>
      <c r="E75" s="270"/>
      <c r="F75" s="254"/>
      <c r="G75" s="83"/>
      <c r="H75" s="83"/>
      <c r="I75" s="83"/>
      <c r="J75" s="83"/>
      <c r="K75" s="83"/>
      <c r="L75" s="83"/>
      <c r="M75" s="83"/>
      <c r="N75" s="83"/>
    </row>
    <row r="76" spans="1:14" ht="39" customHeight="1" x14ac:dyDescent="0.3">
      <c r="A76" s="3"/>
      <c r="B76" s="253" t="s">
        <v>950</v>
      </c>
      <c r="C76" s="270"/>
      <c r="D76" s="270"/>
      <c r="E76" s="270"/>
      <c r="F76" s="254"/>
      <c r="G76" s="83"/>
      <c r="H76" s="83"/>
      <c r="I76" s="83"/>
      <c r="J76" s="83"/>
      <c r="K76" s="83"/>
      <c r="L76" s="83"/>
      <c r="M76" s="83"/>
      <c r="N76" s="83"/>
    </row>
    <row r="77" spans="1:14" x14ac:dyDescent="0.3">
      <c r="A77" s="3"/>
      <c r="B77" s="253" t="s">
        <v>71</v>
      </c>
      <c r="C77" s="270"/>
      <c r="D77" s="270"/>
      <c r="E77" s="270"/>
      <c r="F77" s="254"/>
      <c r="G77" s="83"/>
      <c r="H77" s="83"/>
      <c r="I77" s="83"/>
      <c r="J77" s="83"/>
      <c r="K77" s="83"/>
      <c r="L77" s="83"/>
      <c r="M77" s="83"/>
      <c r="N77" s="83"/>
    </row>
    <row r="78" spans="1:14" x14ac:dyDescent="0.3">
      <c r="A78" s="3"/>
      <c r="B78" s="84"/>
      <c r="C78" s="84"/>
      <c r="D78" s="84"/>
      <c r="E78" s="84"/>
      <c r="F78" s="84"/>
      <c r="G78" s="10"/>
      <c r="H78" s="10"/>
      <c r="I78" s="10"/>
      <c r="J78" s="10"/>
      <c r="K78" s="10"/>
      <c r="L78" s="10"/>
      <c r="M78" s="10"/>
      <c r="N78" s="10"/>
    </row>
    <row r="79" spans="1:14" ht="39" customHeight="1" x14ac:dyDescent="0.3">
      <c r="A79" s="3">
        <v>13</v>
      </c>
      <c r="B79" s="261" t="s">
        <v>51</v>
      </c>
      <c r="C79" s="262"/>
      <c r="D79" s="262"/>
      <c r="E79" s="262"/>
      <c r="F79" s="262"/>
      <c r="G79" s="263"/>
      <c r="H79" s="2"/>
      <c r="I79" s="2"/>
      <c r="J79" s="2"/>
      <c r="K79" s="2"/>
      <c r="L79" s="2"/>
      <c r="M79" s="2"/>
      <c r="N79" s="2"/>
    </row>
    <row r="80" spans="1:14" x14ac:dyDescent="0.3">
      <c r="A80" s="3"/>
      <c r="C80" s="66"/>
      <c r="D80" s="66"/>
      <c r="E80" s="66"/>
      <c r="F80" s="66"/>
      <c r="G80" s="66"/>
      <c r="H80" s="66"/>
      <c r="I80" s="66"/>
      <c r="J80" s="66"/>
      <c r="K80" s="66"/>
      <c r="L80" s="66"/>
      <c r="M80" s="66"/>
      <c r="N80" s="66"/>
    </row>
    <row r="81" spans="1:14" ht="40.799999999999997" x14ac:dyDescent="0.3">
      <c r="A81" s="3"/>
      <c r="B81" s="25" t="s">
        <v>52</v>
      </c>
      <c r="C81" s="25" t="s">
        <v>53</v>
      </c>
      <c r="D81" s="25" t="s">
        <v>603</v>
      </c>
      <c r="E81" s="25" t="s">
        <v>54</v>
      </c>
      <c r="F81" s="25" t="s">
        <v>55</v>
      </c>
      <c r="G81" s="25" t="s">
        <v>56</v>
      </c>
      <c r="H81" s="10"/>
      <c r="I81" s="10"/>
      <c r="J81" s="10"/>
      <c r="K81" s="10"/>
      <c r="L81" s="10"/>
      <c r="M81" s="10"/>
      <c r="N81" s="10"/>
    </row>
    <row r="82" spans="1:14" ht="21" customHeight="1" x14ac:dyDescent="0.3">
      <c r="A82" s="3"/>
      <c r="B82" s="297" t="s">
        <v>72</v>
      </c>
      <c r="C82" s="54" t="s">
        <v>415</v>
      </c>
      <c r="D82" s="134">
        <v>2</v>
      </c>
      <c r="E82" s="159">
        <v>3.1</v>
      </c>
      <c r="F82" s="88">
        <v>1.55</v>
      </c>
      <c r="G82" s="88">
        <v>1.74</v>
      </c>
    </row>
    <row r="83" spans="1:14" ht="21" customHeight="1" x14ac:dyDescent="0.3">
      <c r="A83" s="3"/>
      <c r="B83" s="309"/>
      <c r="C83" s="54" t="s">
        <v>237</v>
      </c>
      <c r="D83" s="135"/>
      <c r="E83" s="152"/>
      <c r="F83" s="88"/>
      <c r="G83" s="88"/>
    </row>
    <row r="84" spans="1:14" ht="21" customHeight="1" x14ac:dyDescent="0.3">
      <c r="A84" s="3"/>
      <c r="B84" s="309"/>
      <c r="C84" s="5" t="s">
        <v>416</v>
      </c>
      <c r="D84" s="135">
        <v>20.45</v>
      </c>
      <c r="E84" s="152">
        <v>26.21</v>
      </c>
      <c r="F84" s="88">
        <v>38.81</v>
      </c>
      <c r="G84" s="88">
        <v>44.48</v>
      </c>
    </row>
    <row r="85" spans="1:14" ht="21" customHeight="1" x14ac:dyDescent="0.3">
      <c r="A85" s="3"/>
      <c r="B85" s="309"/>
      <c r="C85" s="5" t="s">
        <v>467</v>
      </c>
      <c r="D85" s="135">
        <v>15.71</v>
      </c>
      <c r="E85" s="152">
        <v>18.71</v>
      </c>
      <c r="F85" s="88">
        <v>22.35</v>
      </c>
      <c r="G85" s="88">
        <v>24.58</v>
      </c>
    </row>
    <row r="86" spans="1:14" ht="21" customHeight="1" x14ac:dyDescent="0.3">
      <c r="A86" s="3"/>
      <c r="B86" s="309"/>
      <c r="C86" s="5" t="s">
        <v>418</v>
      </c>
      <c r="D86" s="135">
        <v>0.56000000000000005</v>
      </c>
      <c r="E86" s="159">
        <v>0.65600000000000003</v>
      </c>
      <c r="F86" s="90">
        <f>0.801</f>
        <v>0.80100000000000005</v>
      </c>
      <c r="G86" s="90">
        <v>0.8</v>
      </c>
    </row>
    <row r="87" spans="1:14" ht="21" customHeight="1" x14ac:dyDescent="0.3">
      <c r="A87" s="3"/>
      <c r="B87" s="309"/>
      <c r="C87" s="5" t="s">
        <v>468</v>
      </c>
      <c r="D87" s="135">
        <v>-0.84</v>
      </c>
      <c r="E87" s="152">
        <v>-2.52</v>
      </c>
      <c r="F87" s="88">
        <v>-4.38</v>
      </c>
      <c r="G87" s="88">
        <v>-3.54</v>
      </c>
    </row>
    <row r="88" spans="1:14" ht="21" customHeight="1" x14ac:dyDescent="0.3">
      <c r="A88" s="3"/>
      <c r="B88" s="298"/>
      <c r="C88" s="54" t="s">
        <v>295</v>
      </c>
      <c r="D88" s="140">
        <f>AVERAGE(D84:D87)</f>
        <v>8.9699999999999989</v>
      </c>
      <c r="E88" s="181">
        <f>AVERAGE(E84:E87)</f>
        <v>10.763999999999999</v>
      </c>
      <c r="F88" s="181">
        <f>AVERAGE(F84:F87)</f>
        <v>14.395250000000001</v>
      </c>
      <c r="G88" s="116">
        <f>AVERAGE(G84:G87)</f>
        <v>16.579999999999998</v>
      </c>
    </row>
    <row r="89" spans="1:14" x14ac:dyDescent="0.3">
      <c r="A89" s="3"/>
      <c r="B89" s="297" t="s">
        <v>59</v>
      </c>
      <c r="C89" s="54" t="s">
        <v>469</v>
      </c>
      <c r="D89" s="135">
        <v>14</v>
      </c>
      <c r="E89" s="159">
        <f>F72/E82</f>
        <v>11.774193548387096</v>
      </c>
      <c r="F89" s="90">
        <f>I72/F82</f>
        <v>21.07096774193548</v>
      </c>
      <c r="G89" s="90">
        <f>L72/G82</f>
        <v>10.626436781609195</v>
      </c>
    </row>
    <row r="90" spans="1:14" x14ac:dyDescent="0.3">
      <c r="A90" s="3"/>
      <c r="B90" s="309"/>
      <c r="C90" s="54" t="s">
        <v>237</v>
      </c>
      <c r="D90" s="135"/>
      <c r="E90" s="152"/>
      <c r="F90" s="88"/>
      <c r="G90" s="88"/>
    </row>
    <row r="91" spans="1:14" x14ac:dyDescent="0.3">
      <c r="A91" s="3"/>
      <c r="B91" s="309"/>
      <c r="C91" s="5" t="s">
        <v>416</v>
      </c>
      <c r="D91" s="135">
        <v>25</v>
      </c>
      <c r="E91" s="159">
        <f>484.4/E84</f>
        <v>18.481495612361691</v>
      </c>
      <c r="F91" s="90">
        <f>913.15/F84</f>
        <v>23.528729708837925</v>
      </c>
      <c r="G91" s="90">
        <f>1171.3/G84</f>
        <v>26.33318345323741</v>
      </c>
    </row>
    <row r="92" spans="1:14" x14ac:dyDescent="0.3">
      <c r="A92" s="3"/>
      <c r="B92" s="309"/>
      <c r="C92" s="5" t="s">
        <v>470</v>
      </c>
      <c r="D92" s="135">
        <v>33.229999999999997</v>
      </c>
      <c r="E92" s="159">
        <f>486.65/E85</f>
        <v>26.010154997327628</v>
      </c>
      <c r="F92" s="90">
        <f>754.15/F85</f>
        <v>33.742729306487689</v>
      </c>
      <c r="G92" s="90">
        <f>534.35/G85</f>
        <v>21.739218877135887</v>
      </c>
    </row>
    <row r="93" spans="1:14" x14ac:dyDescent="0.3">
      <c r="A93" s="3"/>
      <c r="B93" s="309"/>
      <c r="C93" s="5" t="s">
        <v>471</v>
      </c>
      <c r="D93" s="135">
        <v>20.63</v>
      </c>
      <c r="E93" s="159">
        <f>10.59/E86</f>
        <v>16.143292682926827</v>
      </c>
      <c r="F93" s="90">
        <f>11.58/F86</f>
        <v>14.45692883895131</v>
      </c>
      <c r="G93" s="90">
        <f>11.19/G86</f>
        <v>13.987499999999999</v>
      </c>
    </row>
    <row r="94" spans="1:14" x14ac:dyDescent="0.3">
      <c r="A94" s="3"/>
      <c r="B94" s="309"/>
      <c r="C94" s="5" t="s">
        <v>419</v>
      </c>
      <c r="D94" s="135">
        <v>0</v>
      </c>
      <c r="E94" s="159">
        <f>66.68/E87</f>
        <v>-26.460317460317462</v>
      </c>
      <c r="F94" s="90">
        <f>46.52/F87</f>
        <v>-10.621004566210047</v>
      </c>
      <c r="G94" s="90">
        <f>38.45/G87</f>
        <v>-10.861581920903955</v>
      </c>
    </row>
    <row r="95" spans="1:14" x14ac:dyDescent="0.3">
      <c r="A95" s="3"/>
      <c r="B95" s="298"/>
      <c r="C95" s="54" t="s">
        <v>295</v>
      </c>
      <c r="D95" s="140">
        <f>AVERAGE(D91:D94)</f>
        <v>19.715</v>
      </c>
      <c r="E95" s="181">
        <f>AVERAGE(E91:E94)</f>
        <v>8.5436564580746701</v>
      </c>
      <c r="F95" s="181">
        <f>AVERAGE(F91:F94)</f>
        <v>15.276845822016721</v>
      </c>
      <c r="G95" s="157">
        <f>AVERAGE(G91:G94)</f>
        <v>12.799580102367333</v>
      </c>
    </row>
    <row r="96" spans="1:14" x14ac:dyDescent="0.3">
      <c r="A96" s="3"/>
      <c r="B96" s="297" t="s">
        <v>60</v>
      </c>
      <c r="C96" s="54" t="s">
        <v>415</v>
      </c>
      <c r="D96" s="142">
        <v>0.34189999999999998</v>
      </c>
      <c r="E96" s="154">
        <v>0.18759999999999999</v>
      </c>
      <c r="F96" s="110">
        <v>0.1091</v>
      </c>
      <c r="G96" s="110">
        <v>0.106</v>
      </c>
    </row>
    <row r="97" spans="1:7" x14ac:dyDescent="0.3">
      <c r="A97" s="3"/>
      <c r="B97" s="309"/>
      <c r="C97" s="54" t="s">
        <v>237</v>
      </c>
      <c r="D97" s="5"/>
      <c r="E97" s="152"/>
      <c r="F97" s="88"/>
      <c r="G97" s="88"/>
    </row>
    <row r="98" spans="1:7" x14ac:dyDescent="0.3">
      <c r="A98" s="3"/>
      <c r="B98" s="309"/>
      <c r="C98" s="5" t="s">
        <v>416</v>
      </c>
      <c r="D98" s="126">
        <v>0.13139999999999999</v>
      </c>
      <c r="E98" s="154">
        <v>0.16650000000000001</v>
      </c>
      <c r="F98" s="110">
        <v>0.19889999999999999</v>
      </c>
      <c r="G98" s="110">
        <v>0.17680000000000001</v>
      </c>
    </row>
    <row r="99" spans="1:7" x14ac:dyDescent="0.3">
      <c r="A99" s="3"/>
      <c r="B99" s="309"/>
      <c r="C99" s="5" t="s">
        <v>417</v>
      </c>
      <c r="D99" s="126">
        <v>0.1077</v>
      </c>
      <c r="E99" s="161">
        <v>0.1231</v>
      </c>
      <c r="F99" s="110">
        <v>0.1694</v>
      </c>
      <c r="G99" s="110">
        <v>0.20580000000000001</v>
      </c>
    </row>
    <row r="100" spans="1:7" x14ac:dyDescent="0.3">
      <c r="A100" s="3"/>
      <c r="B100" s="309"/>
      <c r="C100" s="5" t="s">
        <v>418</v>
      </c>
      <c r="D100" s="126">
        <v>9.9699999999999997E-2</v>
      </c>
      <c r="E100" s="154">
        <v>0.1047</v>
      </c>
      <c r="F100" s="110">
        <v>0.1133</v>
      </c>
      <c r="G100" s="110">
        <v>9.74E-2</v>
      </c>
    </row>
    <row r="101" spans="1:7" x14ac:dyDescent="0.3">
      <c r="A101" s="3"/>
      <c r="B101" s="309"/>
      <c r="C101" s="5" t="s">
        <v>419</v>
      </c>
      <c r="D101" s="142">
        <v>1.9E-2</v>
      </c>
      <c r="E101" s="154">
        <v>6.0600000000000001E-2</v>
      </c>
      <c r="F101" s="110">
        <v>-0.11700000000000001</v>
      </c>
      <c r="G101" s="88">
        <v>-10.39</v>
      </c>
    </row>
    <row r="102" spans="1:7" x14ac:dyDescent="0.3">
      <c r="A102" s="3"/>
      <c r="B102" s="298"/>
      <c r="C102" s="54" t="s">
        <v>295</v>
      </c>
      <c r="D102" s="143">
        <f>AVERAGE(D98:D101)</f>
        <v>8.9450000000000002E-2</v>
      </c>
      <c r="E102" s="143">
        <f>AVERAGE(E98:E101)</f>
        <v>0.11372500000000001</v>
      </c>
      <c r="F102" s="143">
        <f>AVERAGE(F98:F101)</f>
        <v>9.1149999999999995E-2</v>
      </c>
      <c r="G102" s="143">
        <f>AVERAGE(G98:G101)</f>
        <v>-2.4775</v>
      </c>
    </row>
    <row r="103" spans="1:7" x14ac:dyDescent="0.3">
      <c r="A103" s="3"/>
      <c r="B103" s="310" t="s">
        <v>61</v>
      </c>
      <c r="C103" s="54" t="s">
        <v>415</v>
      </c>
      <c r="D103" s="135">
        <v>5.86</v>
      </c>
      <c r="E103" s="152">
        <v>13.2</v>
      </c>
      <c r="F103" s="88">
        <v>14.69</v>
      </c>
      <c r="G103" s="88">
        <v>17.96</v>
      </c>
    </row>
    <row r="104" spans="1:7" x14ac:dyDescent="0.3">
      <c r="A104" s="3"/>
      <c r="B104" s="310"/>
      <c r="C104" s="54" t="s">
        <v>237</v>
      </c>
      <c r="D104" s="135"/>
      <c r="E104" s="152"/>
      <c r="F104" s="88"/>
      <c r="G104" s="88"/>
    </row>
    <row r="105" spans="1:7" x14ac:dyDescent="0.3">
      <c r="A105" s="3"/>
      <c r="B105" s="310"/>
      <c r="C105" s="5" t="s">
        <v>416</v>
      </c>
      <c r="D105" s="135">
        <v>174.45</v>
      </c>
      <c r="E105" s="152">
        <v>173.62</v>
      </c>
      <c r="F105" s="88">
        <v>205.58</v>
      </c>
      <c r="G105" s="88">
        <v>48.13</v>
      </c>
    </row>
    <row r="106" spans="1:7" x14ac:dyDescent="0.3">
      <c r="A106" s="3"/>
      <c r="B106" s="310"/>
      <c r="C106" s="5" t="s">
        <v>417</v>
      </c>
      <c r="D106" s="135">
        <v>142.78</v>
      </c>
      <c r="E106" s="152">
        <v>151.97999999999999</v>
      </c>
      <c r="F106" s="88">
        <v>123.83</v>
      </c>
      <c r="G106" s="88">
        <v>23.15</v>
      </c>
    </row>
    <row r="107" spans="1:7" x14ac:dyDescent="0.3">
      <c r="A107" s="3"/>
      <c r="B107" s="310"/>
      <c r="C107" s="5" t="s">
        <v>418</v>
      </c>
      <c r="D107" s="135">
        <v>5.61</v>
      </c>
      <c r="E107" s="152">
        <v>6.27</v>
      </c>
      <c r="F107" s="88">
        <v>7.07</v>
      </c>
      <c r="G107" s="90">
        <v>0.8</v>
      </c>
    </row>
    <row r="108" spans="1:7" x14ac:dyDescent="0.3">
      <c r="A108" s="3"/>
      <c r="B108" s="310"/>
      <c r="C108" s="5" t="s">
        <v>419</v>
      </c>
      <c r="D108" s="134">
        <v>44.1</v>
      </c>
      <c r="E108" s="152">
        <v>41.65</v>
      </c>
      <c r="F108" s="88">
        <v>37.46</v>
      </c>
      <c r="G108" s="88">
        <v>-3.54</v>
      </c>
    </row>
    <row r="109" spans="1:7" x14ac:dyDescent="0.35">
      <c r="A109" s="3"/>
      <c r="B109" s="310"/>
      <c r="C109" s="54" t="s">
        <v>295</v>
      </c>
      <c r="D109" s="144">
        <f>AVERAGE(D105:D108)</f>
        <v>91.735000000000014</v>
      </c>
      <c r="E109" s="158">
        <f>AVERAGE(E105:E108)</f>
        <v>93.38</v>
      </c>
      <c r="F109" s="158">
        <f>AVERAGE(F105:F108)</f>
        <v>93.484999999999999</v>
      </c>
      <c r="G109" s="116">
        <f>AVERAGE(G105:G108)</f>
        <v>17.134999999999998</v>
      </c>
    </row>
    <row r="110" spans="1:7" x14ac:dyDescent="0.3">
      <c r="A110" s="3"/>
      <c r="B110" s="301"/>
      <c r="C110" s="302"/>
      <c r="D110" s="302"/>
      <c r="E110" s="302"/>
      <c r="F110" s="302"/>
      <c r="G110" s="303"/>
    </row>
    <row r="111" spans="1:7" s="2" customFormat="1" x14ac:dyDescent="0.3">
      <c r="B111" s="253"/>
      <c r="C111" s="270"/>
      <c r="D111" s="270"/>
      <c r="E111" s="270"/>
      <c r="F111" s="270"/>
      <c r="G111" s="254"/>
    </row>
    <row r="112" spans="1:7" x14ac:dyDescent="0.3">
      <c r="A112" s="3"/>
      <c r="B112" s="304" t="s">
        <v>569</v>
      </c>
      <c r="C112" s="242"/>
      <c r="D112" s="242"/>
      <c r="E112" s="242"/>
      <c r="F112" s="242"/>
      <c r="G112" s="305"/>
    </row>
    <row r="113" spans="1:8" ht="48" customHeight="1" x14ac:dyDescent="0.3">
      <c r="A113" s="3"/>
      <c r="B113" s="403" t="s">
        <v>951</v>
      </c>
      <c r="C113" s="403"/>
      <c r="D113" s="403"/>
      <c r="E113" s="403"/>
      <c r="F113" s="403"/>
      <c r="G113" s="403"/>
    </row>
    <row r="114" spans="1:8" x14ac:dyDescent="0.3">
      <c r="C114" s="306"/>
      <c r="D114" s="306"/>
      <c r="E114" s="306"/>
      <c r="F114" s="306"/>
      <c r="G114" s="306"/>
    </row>
    <row r="115" spans="1:8" x14ac:dyDescent="0.3">
      <c r="A115" s="3">
        <v>14</v>
      </c>
      <c r="B115" s="54" t="s">
        <v>63</v>
      </c>
      <c r="C115" s="307" t="s">
        <v>50</v>
      </c>
      <c r="D115" s="308"/>
      <c r="E115" s="308"/>
      <c r="F115" s="308"/>
      <c r="G115" s="249"/>
    </row>
    <row r="116" spans="1:8" x14ac:dyDescent="0.3">
      <c r="C116" s="55"/>
      <c r="D116" s="55"/>
      <c r="E116" s="55"/>
      <c r="F116" s="55"/>
      <c r="G116" s="55"/>
    </row>
    <row r="117" spans="1:8" x14ac:dyDescent="0.3">
      <c r="B117" s="299" t="s">
        <v>435</v>
      </c>
      <c r="C117" s="299"/>
      <c r="D117" s="299"/>
      <c r="E117" s="299"/>
      <c r="F117" s="299"/>
      <c r="G117" s="299"/>
      <c r="H117" s="299"/>
    </row>
    <row r="122" spans="1:8" x14ac:dyDescent="0.3">
      <c r="D122" s="56"/>
      <c r="E122" s="56"/>
    </row>
    <row r="123" spans="1:8" x14ac:dyDescent="0.3">
      <c r="E123" s="56"/>
    </row>
  </sheetData>
  <mergeCells count="65">
    <mergeCell ref="C114:G114"/>
    <mergeCell ref="C115:G115"/>
    <mergeCell ref="B117:H117"/>
    <mergeCell ref="B96:B102"/>
    <mergeCell ref="B103:B109"/>
    <mergeCell ref="B110:G110"/>
    <mergeCell ref="B111:G111"/>
    <mergeCell ref="B112:G112"/>
    <mergeCell ref="L70:N70"/>
    <mergeCell ref="F70:H70"/>
    <mergeCell ref="B74:N74"/>
    <mergeCell ref="B70:B71"/>
    <mergeCell ref="C70:C71"/>
    <mergeCell ref="D70:D71"/>
    <mergeCell ref="E70:E71"/>
    <mergeCell ref="B53:E53"/>
    <mergeCell ref="B82:B88"/>
    <mergeCell ref="B89:B95"/>
    <mergeCell ref="B113:G113"/>
    <mergeCell ref="I70:K70"/>
    <mergeCell ref="B79:G79"/>
    <mergeCell ref="B75:F75"/>
    <mergeCell ref="B76:F76"/>
    <mergeCell ref="B77:F77"/>
    <mergeCell ref="B62:E62"/>
    <mergeCell ref="C64:E64"/>
    <mergeCell ref="C65:E65"/>
    <mergeCell ref="C66:E66"/>
    <mergeCell ref="B61:E61"/>
    <mergeCell ref="B35:E35"/>
    <mergeCell ref="B36:E36"/>
    <mergeCell ref="C60:E60"/>
    <mergeCell ref="B42:E42"/>
    <mergeCell ref="C43:E43"/>
    <mergeCell ref="C44:E44"/>
    <mergeCell ref="C45:E45"/>
    <mergeCell ref="B46:E46"/>
    <mergeCell ref="B48:E48"/>
    <mergeCell ref="B52:E52"/>
    <mergeCell ref="B56:E56"/>
    <mergeCell ref="B57:B58"/>
    <mergeCell ref="C57:E58"/>
    <mergeCell ref="C59:E59"/>
    <mergeCell ref="B40:D40"/>
    <mergeCell ref="B51:D51"/>
    <mergeCell ref="C24:E24"/>
    <mergeCell ref="B26:E26"/>
    <mergeCell ref="B27:E27"/>
    <mergeCell ref="B33:E33"/>
    <mergeCell ref="B25:E25"/>
    <mergeCell ref="C22:E22"/>
    <mergeCell ref="C23:E23"/>
    <mergeCell ref="C21:E21"/>
    <mergeCell ref="C20:E20"/>
    <mergeCell ref="A1:B1"/>
    <mergeCell ref="C3:E3"/>
    <mergeCell ref="C5:E5"/>
    <mergeCell ref="B6:D6"/>
    <mergeCell ref="B9:D9"/>
    <mergeCell ref="C11:E11"/>
    <mergeCell ref="B12:D12"/>
    <mergeCell ref="C14:E14"/>
    <mergeCell ref="B15:D15"/>
    <mergeCell ref="B17:C17"/>
    <mergeCell ref="B19:E19"/>
  </mergeCells>
  <pageMargins left="0.70866141732283472" right="0.70866141732283472" top="0.74803149606299213" bottom="0.74803149606299213" header="0.31496062992125984" footer="0.31496062992125984"/>
  <pageSetup paperSize="9" scale="27" fitToWidth="70" fitToHeight="2" orientation="landscape" horizontalDpi="4294967292"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08C6D-DB19-4581-96B7-25A27DEBC451}">
  <dimension ref="A1:Q113"/>
  <sheetViews>
    <sheetView view="pageBreakPreview" topLeftCell="C75" zoomScale="64" zoomScaleNormal="69" workbookViewId="0">
      <selection activeCell="D96" sqref="D96"/>
    </sheetView>
  </sheetViews>
  <sheetFormatPr defaultColWidth="8.6640625" defaultRowHeight="21" x14ac:dyDescent="0.3"/>
  <cols>
    <col min="1" max="1" width="8.6640625" style="1"/>
    <col min="2" max="2" width="58.33203125" style="1" customWidth="1"/>
    <col min="3" max="3" width="81" style="1" customWidth="1"/>
    <col min="4" max="4" width="68.109375" style="1" customWidth="1"/>
    <col min="5" max="5" width="27.6640625" style="1" customWidth="1"/>
    <col min="6" max="6" width="22.6640625" style="1" customWidth="1"/>
    <col min="7" max="7" width="12" style="1" customWidth="1"/>
    <col min="8" max="8" width="22.6640625" style="1" customWidth="1"/>
    <col min="9" max="9" width="16.44140625" style="1" customWidth="1"/>
    <col min="10" max="10" width="18.33203125" style="1" customWidth="1"/>
    <col min="11" max="11" width="13.5546875" style="1" bestFit="1" customWidth="1"/>
    <col min="12" max="12" width="8.33203125" style="1" bestFit="1" customWidth="1"/>
    <col min="13" max="13" width="8.6640625" style="1"/>
    <col min="14" max="14" width="8.33203125" style="1" customWidth="1"/>
    <col min="15" max="17" width="8.6640625" style="1" hidden="1" customWidth="1"/>
    <col min="18" max="16384" width="8.6640625" style="1"/>
  </cols>
  <sheetData>
    <row r="1" spans="1:5" ht="20.25" customHeight="1" x14ac:dyDescent="0.3">
      <c r="A1" s="246" t="s">
        <v>0</v>
      </c>
      <c r="B1" s="246"/>
      <c r="D1" s="2"/>
    </row>
    <row r="3" spans="1:5" ht="40.799999999999997" x14ac:dyDescent="0.3">
      <c r="A3" s="3" t="s">
        <v>1</v>
      </c>
      <c r="B3" s="54" t="s">
        <v>2</v>
      </c>
      <c r="C3" s="300" t="s">
        <v>424</v>
      </c>
      <c r="D3" s="300"/>
      <c r="E3" s="300"/>
    </row>
    <row r="4" spans="1:5" x14ac:dyDescent="0.3">
      <c r="D4" s="22"/>
    </row>
    <row r="5" spans="1:5" x14ac:dyDescent="0.3">
      <c r="A5" s="62">
        <v>1</v>
      </c>
      <c r="B5" s="63" t="s">
        <v>3</v>
      </c>
      <c r="C5" s="247" t="s">
        <v>339</v>
      </c>
      <c r="D5" s="248"/>
      <c r="E5" s="249"/>
    </row>
    <row r="6" spans="1:5" x14ac:dyDescent="0.3">
      <c r="A6" s="3"/>
      <c r="B6" s="250" t="s">
        <v>4</v>
      </c>
      <c r="C6" s="251"/>
      <c r="D6" s="252"/>
      <c r="E6" s="10"/>
    </row>
    <row r="7" spans="1:5" x14ac:dyDescent="0.3">
      <c r="A7" s="3"/>
      <c r="B7" s="2"/>
      <c r="D7" s="22"/>
    </row>
    <row r="8" spans="1:5" x14ac:dyDescent="0.3">
      <c r="A8" s="3">
        <v>2</v>
      </c>
      <c r="B8" s="63" t="s">
        <v>5</v>
      </c>
      <c r="C8" s="12" t="s">
        <v>425</v>
      </c>
      <c r="D8" s="22"/>
    </row>
    <row r="9" spans="1:5" x14ac:dyDescent="0.3">
      <c r="A9" s="3"/>
      <c r="B9" s="250" t="s">
        <v>4</v>
      </c>
      <c r="C9" s="251"/>
      <c r="D9" s="252"/>
    </row>
    <row r="10" spans="1:5" x14ac:dyDescent="0.3">
      <c r="A10" s="3"/>
      <c r="B10" s="2"/>
      <c r="D10" s="22"/>
    </row>
    <row r="11" spans="1:5" ht="40.950000000000003" customHeight="1" x14ac:dyDescent="0.3">
      <c r="A11" s="3">
        <v>3</v>
      </c>
      <c r="B11" s="63" t="s">
        <v>6</v>
      </c>
      <c r="C11" s="247" t="s">
        <v>90</v>
      </c>
      <c r="D11" s="248"/>
      <c r="E11" s="249"/>
    </row>
    <row r="12" spans="1:5" x14ac:dyDescent="0.3">
      <c r="A12" s="3"/>
      <c r="B12" s="250" t="s">
        <v>4</v>
      </c>
      <c r="C12" s="251"/>
      <c r="D12" s="252"/>
      <c r="E12" s="10"/>
    </row>
    <row r="13" spans="1:5" x14ac:dyDescent="0.3">
      <c r="A13" s="3"/>
      <c r="B13" s="2"/>
      <c r="D13" s="22"/>
    </row>
    <row r="14" spans="1:5" x14ac:dyDescent="0.3">
      <c r="A14" s="3">
        <v>4</v>
      </c>
      <c r="B14" s="54" t="s">
        <v>92</v>
      </c>
      <c r="C14" s="247" t="s">
        <v>90</v>
      </c>
      <c r="D14" s="248"/>
      <c r="E14" s="249"/>
    </row>
    <row r="15" spans="1:5" x14ac:dyDescent="0.3">
      <c r="A15" s="3"/>
      <c r="B15" s="250" t="s">
        <v>4</v>
      </c>
      <c r="C15" s="251"/>
      <c r="D15" s="252"/>
    </row>
    <row r="16" spans="1:5" x14ac:dyDescent="0.3">
      <c r="A16" s="3">
        <v>4</v>
      </c>
      <c r="B16" s="54" t="s">
        <v>7</v>
      </c>
      <c r="C16" s="120" t="s">
        <v>444</v>
      </c>
      <c r="D16" s="22"/>
    </row>
    <row r="17" spans="1:14" x14ac:dyDescent="0.3">
      <c r="A17" s="3"/>
      <c r="B17" s="253" t="s">
        <v>8</v>
      </c>
      <c r="C17" s="254"/>
      <c r="D17" s="22"/>
    </row>
    <row r="18" spans="1:14" x14ac:dyDescent="0.3">
      <c r="A18" s="3"/>
      <c r="D18" s="22"/>
    </row>
    <row r="19" spans="1:14" x14ac:dyDescent="0.3">
      <c r="A19" s="3">
        <v>5</v>
      </c>
      <c r="B19" s="255" t="s">
        <v>9</v>
      </c>
      <c r="C19" s="256"/>
      <c r="D19" s="256"/>
      <c r="E19" s="257"/>
      <c r="F19" s="2"/>
      <c r="G19" s="2"/>
      <c r="H19" s="2"/>
      <c r="I19" s="2"/>
      <c r="J19" s="10"/>
      <c r="K19" s="10"/>
      <c r="L19" s="10"/>
      <c r="M19" s="10"/>
      <c r="N19" s="10"/>
    </row>
    <row r="20" spans="1:14" x14ac:dyDescent="0.3">
      <c r="A20" s="3"/>
      <c r="B20" s="65" t="s">
        <v>10</v>
      </c>
      <c r="C20" s="243">
        <v>0.1268</v>
      </c>
      <c r="D20" s="244"/>
      <c r="E20" s="245"/>
      <c r="F20" s="66"/>
      <c r="G20" s="10"/>
      <c r="H20" s="10"/>
      <c r="I20" s="10"/>
      <c r="J20" s="10"/>
      <c r="K20" s="10"/>
      <c r="L20" s="10"/>
      <c r="M20" s="10"/>
      <c r="N20" s="10"/>
    </row>
    <row r="21" spans="1:14" ht="61.2" x14ac:dyDescent="0.3">
      <c r="A21" s="3"/>
      <c r="B21" s="65" t="s">
        <v>473</v>
      </c>
      <c r="C21" s="243" t="s">
        <v>11</v>
      </c>
      <c r="D21" s="244"/>
      <c r="E21" s="245"/>
      <c r="F21" s="66"/>
      <c r="G21" s="10"/>
      <c r="I21" s="10"/>
      <c r="J21" s="10"/>
      <c r="K21" s="10"/>
      <c r="L21" s="10"/>
      <c r="M21" s="10"/>
      <c r="N21" s="10"/>
    </row>
    <row r="22" spans="1:14" x14ac:dyDescent="0.3">
      <c r="A22" s="3"/>
      <c r="B22" s="65" t="s">
        <v>474</v>
      </c>
      <c r="C22" s="243" t="s">
        <v>11</v>
      </c>
      <c r="D22" s="244"/>
      <c r="E22" s="245"/>
      <c r="F22" s="66"/>
      <c r="G22" s="10"/>
      <c r="H22" s="10"/>
      <c r="I22" s="10"/>
      <c r="J22" s="10"/>
      <c r="K22" s="10"/>
      <c r="L22" s="10"/>
      <c r="M22" s="10"/>
      <c r="N22" s="10"/>
    </row>
    <row r="23" spans="1:14" x14ac:dyDescent="0.3">
      <c r="A23" s="3"/>
      <c r="B23" s="64" t="s">
        <v>475</v>
      </c>
      <c r="C23" s="243" t="s">
        <v>11</v>
      </c>
      <c r="D23" s="244"/>
      <c r="E23" s="245"/>
      <c r="F23" s="66"/>
      <c r="G23" s="10"/>
      <c r="H23" s="10"/>
      <c r="I23" s="10"/>
      <c r="J23" s="10"/>
      <c r="K23" s="10"/>
      <c r="L23" s="10"/>
      <c r="M23" s="10"/>
      <c r="N23" s="10"/>
    </row>
    <row r="24" spans="1:14" x14ac:dyDescent="0.3">
      <c r="A24" s="3"/>
      <c r="B24" s="67" t="s">
        <v>476</v>
      </c>
      <c r="C24" s="401" t="s">
        <v>15</v>
      </c>
      <c r="D24" s="401"/>
      <c r="E24" s="401"/>
      <c r="F24" s="66"/>
      <c r="G24" s="10"/>
      <c r="H24" s="10"/>
      <c r="I24" s="10"/>
      <c r="J24" s="10"/>
      <c r="K24" s="10"/>
      <c r="L24" s="10"/>
      <c r="M24" s="10"/>
      <c r="N24" s="10"/>
    </row>
    <row r="25" spans="1:14" x14ac:dyDescent="0.3">
      <c r="A25" s="3"/>
      <c r="B25" s="66" t="s">
        <v>347</v>
      </c>
      <c r="C25" s="66"/>
      <c r="D25" s="66"/>
      <c r="E25" s="66"/>
      <c r="F25" s="66"/>
      <c r="G25" s="10"/>
      <c r="H25" s="10"/>
      <c r="I25" s="10"/>
      <c r="J25" s="10"/>
      <c r="K25" s="10"/>
      <c r="L25" s="10"/>
      <c r="M25" s="10"/>
      <c r="N25" s="10"/>
    </row>
    <row r="26" spans="1:14" x14ac:dyDescent="0.3">
      <c r="A26" s="3">
        <v>6</v>
      </c>
      <c r="B26" s="261" t="s">
        <v>74</v>
      </c>
      <c r="C26" s="262"/>
      <c r="D26" s="262"/>
      <c r="E26" s="263"/>
      <c r="F26" s="2"/>
      <c r="G26" s="2"/>
      <c r="H26" s="10"/>
      <c r="I26" s="2"/>
      <c r="J26" s="2"/>
    </row>
    <row r="27" spans="1:14" x14ac:dyDescent="0.3">
      <c r="A27" s="3"/>
      <c r="B27" s="264" t="s">
        <v>17</v>
      </c>
      <c r="C27" s="265"/>
      <c r="D27" s="265"/>
      <c r="E27" s="266"/>
      <c r="F27" s="66"/>
    </row>
    <row r="28" spans="1:14" x14ac:dyDescent="0.3">
      <c r="A28" s="3"/>
      <c r="B28" s="67" t="s">
        <v>18</v>
      </c>
      <c r="C28" s="25" t="s">
        <v>477</v>
      </c>
      <c r="D28" s="25" t="s">
        <v>478</v>
      </c>
      <c r="E28" s="25" t="s">
        <v>479</v>
      </c>
      <c r="F28" s="66"/>
    </row>
    <row r="29" spans="1:14" ht="20.7" customHeight="1" x14ac:dyDescent="0.3">
      <c r="A29" s="3"/>
      <c r="B29" s="68" t="s">
        <v>21</v>
      </c>
      <c r="C29" s="5">
        <v>3183.41</v>
      </c>
      <c r="D29" s="5">
        <v>4311.53</v>
      </c>
      <c r="E29" s="267" t="s">
        <v>22</v>
      </c>
      <c r="F29" s="66"/>
    </row>
    <row r="30" spans="1:14" x14ac:dyDescent="0.3">
      <c r="A30" s="3"/>
      <c r="B30" s="68" t="s">
        <v>23</v>
      </c>
      <c r="C30" s="5">
        <v>149.15</v>
      </c>
      <c r="D30" s="5">
        <v>307.77</v>
      </c>
      <c r="E30" s="268"/>
      <c r="F30" s="66"/>
    </row>
    <row r="31" spans="1:14" x14ac:dyDescent="0.3">
      <c r="A31" s="3"/>
      <c r="B31" s="68" t="s">
        <v>24</v>
      </c>
      <c r="C31" s="5">
        <v>252.36</v>
      </c>
      <c r="D31" s="5">
        <v>252.36</v>
      </c>
      <c r="E31" s="268"/>
      <c r="F31" s="66"/>
      <c r="H31" s="57"/>
    </row>
    <row r="32" spans="1:14" x14ac:dyDescent="0.3">
      <c r="A32" s="3"/>
      <c r="B32" s="68" t="s">
        <v>25</v>
      </c>
      <c r="C32" s="5">
        <v>593.20000000000005</v>
      </c>
      <c r="D32" s="5">
        <v>900.97</v>
      </c>
      <c r="E32" s="269"/>
      <c r="F32" s="66"/>
    </row>
    <row r="33" spans="1:10" x14ac:dyDescent="0.3">
      <c r="A33" s="3"/>
      <c r="B33" s="253" t="s">
        <v>193</v>
      </c>
      <c r="C33" s="270"/>
      <c r="D33" s="270"/>
      <c r="E33" s="254"/>
      <c r="F33" s="66"/>
    </row>
    <row r="34" spans="1:10" x14ac:dyDescent="0.3">
      <c r="A34" s="3"/>
      <c r="B34" s="10"/>
      <c r="C34" s="66"/>
      <c r="D34" s="66"/>
      <c r="E34" s="66"/>
      <c r="F34" s="66"/>
    </row>
    <row r="35" spans="1:10" ht="41.7" customHeight="1" x14ac:dyDescent="0.3">
      <c r="A35" s="3">
        <v>7</v>
      </c>
      <c r="B35" s="261" t="s">
        <v>26</v>
      </c>
      <c r="C35" s="262"/>
      <c r="D35" s="262"/>
      <c r="E35" s="263"/>
      <c r="F35" s="2"/>
      <c r="G35" s="2"/>
      <c r="H35" s="2"/>
      <c r="I35" s="2"/>
      <c r="J35" s="2"/>
    </row>
    <row r="36" spans="1:10" x14ac:dyDescent="0.3">
      <c r="A36" s="3"/>
      <c r="B36" s="67" t="s">
        <v>247</v>
      </c>
      <c r="C36" s="27" t="s">
        <v>93</v>
      </c>
      <c r="D36" s="5"/>
      <c r="E36" s="5"/>
      <c r="F36" s="10"/>
    </row>
    <row r="37" spans="1:10" x14ac:dyDescent="0.3">
      <c r="A37" s="3"/>
      <c r="B37" s="67" t="s">
        <v>28</v>
      </c>
      <c r="C37" s="27" t="s">
        <v>455</v>
      </c>
      <c r="D37" s="10"/>
      <c r="E37" s="10"/>
      <c r="F37" s="10"/>
    </row>
    <row r="38" spans="1:10" x14ac:dyDescent="0.3">
      <c r="A38" s="3"/>
      <c r="B38" s="67" t="s">
        <v>29</v>
      </c>
      <c r="C38" s="27" t="s">
        <v>15</v>
      </c>
      <c r="D38" s="10"/>
      <c r="E38" s="10"/>
      <c r="F38" s="10"/>
    </row>
    <row r="39" spans="1:10" ht="42" customHeight="1" x14ac:dyDescent="0.3">
      <c r="A39" s="3"/>
      <c r="B39" s="271" t="s">
        <v>436</v>
      </c>
      <c r="C39" s="271"/>
      <c r="D39" s="271"/>
      <c r="E39" s="10"/>
      <c r="F39" s="10"/>
    </row>
    <row r="40" spans="1:10" x14ac:dyDescent="0.3">
      <c r="A40" s="3"/>
      <c r="B40" s="66"/>
      <c r="C40" s="10"/>
      <c r="D40" s="10"/>
      <c r="E40" s="10"/>
      <c r="F40" s="10"/>
    </row>
    <row r="41" spans="1:10" x14ac:dyDescent="0.3">
      <c r="A41" s="3">
        <v>8</v>
      </c>
      <c r="B41" s="261" t="s">
        <v>30</v>
      </c>
      <c r="C41" s="262"/>
      <c r="D41" s="262"/>
      <c r="E41" s="263"/>
      <c r="F41" s="2"/>
      <c r="G41" s="2"/>
      <c r="H41" s="2"/>
      <c r="I41" s="2"/>
      <c r="J41" s="2"/>
    </row>
    <row r="42" spans="1:10" ht="50.25" customHeight="1" x14ac:dyDescent="0.3">
      <c r="A42" s="3"/>
      <c r="B42" s="67" t="s">
        <v>31</v>
      </c>
      <c r="C42" s="258" t="s">
        <v>11</v>
      </c>
      <c r="D42" s="259"/>
      <c r="E42" s="260"/>
      <c r="F42" s="10"/>
    </row>
    <row r="43" spans="1:10" x14ac:dyDescent="0.3">
      <c r="A43" s="3"/>
      <c r="B43" s="295" t="s">
        <v>28</v>
      </c>
      <c r="C43" s="247" t="s">
        <v>961</v>
      </c>
      <c r="D43" s="248"/>
      <c r="E43" s="362"/>
      <c r="F43" s="10"/>
    </row>
    <row r="44" spans="1:10" ht="21" customHeight="1" x14ac:dyDescent="0.3">
      <c r="A44" s="3"/>
      <c r="B44" s="460"/>
      <c r="C44" s="461"/>
      <c r="D44" s="462"/>
      <c r="E44" s="463"/>
      <c r="F44" s="10"/>
    </row>
    <row r="45" spans="1:10" ht="21" customHeight="1" x14ac:dyDescent="0.3">
      <c r="A45" s="3"/>
      <c r="B45" s="460"/>
      <c r="C45" s="461"/>
      <c r="D45" s="462"/>
      <c r="E45" s="463"/>
      <c r="F45" s="10"/>
    </row>
    <row r="46" spans="1:10" ht="21" customHeight="1" x14ac:dyDescent="0.3">
      <c r="A46" s="3"/>
      <c r="B46" s="296"/>
      <c r="C46" s="464"/>
      <c r="D46" s="465"/>
      <c r="E46" s="466"/>
      <c r="F46" s="10"/>
    </row>
    <row r="47" spans="1:10" x14ac:dyDescent="0.3">
      <c r="A47" s="3"/>
      <c r="B47" s="67" t="s">
        <v>29</v>
      </c>
      <c r="C47" s="258" t="s">
        <v>15</v>
      </c>
      <c r="D47" s="259"/>
      <c r="E47" s="260"/>
      <c r="F47" s="10"/>
    </row>
    <row r="48" spans="1:10" x14ac:dyDescent="0.3">
      <c r="A48" s="3"/>
      <c r="B48" s="253" t="s">
        <v>192</v>
      </c>
      <c r="C48" s="270"/>
      <c r="D48" s="270"/>
      <c r="E48" s="254"/>
      <c r="F48" s="10"/>
    </row>
    <row r="49" spans="1:11" x14ac:dyDescent="0.3">
      <c r="A49" s="3"/>
      <c r="D49" s="22"/>
      <c r="E49" s="10"/>
    </row>
    <row r="50" spans="1:11" ht="83.4" customHeight="1" x14ac:dyDescent="0.3">
      <c r="A50" s="191">
        <v>9</v>
      </c>
      <c r="B50" s="262" t="s">
        <v>32</v>
      </c>
      <c r="C50" s="262"/>
      <c r="D50" s="262"/>
      <c r="E50" s="263"/>
      <c r="F50" s="2"/>
      <c r="G50" s="2"/>
      <c r="H50" s="2"/>
      <c r="I50" s="2"/>
    </row>
    <row r="51" spans="1:11" ht="81.599999999999994" x14ac:dyDescent="0.3">
      <c r="A51" s="191"/>
      <c r="B51" s="24" t="s">
        <v>33</v>
      </c>
      <c r="C51" s="25" t="s">
        <v>34</v>
      </c>
      <c r="D51" s="25" t="s">
        <v>96</v>
      </c>
      <c r="E51" s="25" t="s">
        <v>35</v>
      </c>
    </row>
    <row r="52" spans="1:11" ht="166.2" customHeight="1" x14ac:dyDescent="0.3">
      <c r="A52" s="191"/>
      <c r="B52" s="189" t="s">
        <v>426</v>
      </c>
      <c r="C52" s="27" t="s">
        <v>427</v>
      </c>
      <c r="D52" s="27" t="s">
        <v>879</v>
      </c>
      <c r="E52" s="27" t="s">
        <v>121</v>
      </c>
    </row>
    <row r="53" spans="1:11" x14ac:dyDescent="0.3">
      <c r="A53" s="191"/>
      <c r="B53" s="270"/>
      <c r="C53" s="270"/>
      <c r="D53" s="270"/>
      <c r="E53" s="254"/>
    </row>
    <row r="54" spans="1:11" ht="40.200000000000003" customHeight="1" x14ac:dyDescent="0.3">
      <c r="A54" s="191"/>
      <c r="B54" s="458" t="s">
        <v>962</v>
      </c>
      <c r="C54" s="459"/>
      <c r="D54" s="459"/>
      <c r="E54" s="459"/>
    </row>
    <row r="55" spans="1:11" x14ac:dyDescent="0.3">
      <c r="A55" s="191"/>
      <c r="B55" s="28"/>
      <c r="C55" s="22"/>
      <c r="D55" s="22"/>
      <c r="E55" s="22"/>
      <c r="F55" s="66"/>
      <c r="G55" s="66"/>
      <c r="H55" s="66"/>
      <c r="I55" s="66"/>
    </row>
    <row r="56" spans="1:11" ht="43.2" customHeight="1" x14ac:dyDescent="0.3">
      <c r="A56" s="191">
        <v>10</v>
      </c>
      <c r="B56" s="262" t="s">
        <v>32</v>
      </c>
      <c r="C56" s="262"/>
      <c r="D56" s="262"/>
      <c r="E56" s="263"/>
      <c r="F56" s="66"/>
      <c r="G56" s="66"/>
      <c r="H56" s="66"/>
    </row>
    <row r="57" spans="1:11" x14ac:dyDescent="0.3">
      <c r="A57" s="191"/>
      <c r="B57" s="275" t="s">
        <v>36</v>
      </c>
      <c r="C57" s="277" t="s">
        <v>872</v>
      </c>
      <c r="D57" s="278"/>
      <c r="E57" s="279"/>
      <c r="K57" s="2"/>
    </row>
    <row r="58" spans="1:11" ht="100.2" customHeight="1" x14ac:dyDescent="0.3">
      <c r="A58" s="191"/>
      <c r="B58" s="276"/>
      <c r="C58" s="280"/>
      <c r="D58" s="281"/>
      <c r="E58" s="282"/>
      <c r="K58" s="2"/>
    </row>
    <row r="59" spans="1:11" ht="123.6" customHeight="1" x14ac:dyDescent="0.3">
      <c r="A59" s="191"/>
      <c r="B59" s="29" t="s">
        <v>37</v>
      </c>
      <c r="C59" s="283" t="s">
        <v>880</v>
      </c>
      <c r="D59" s="284"/>
      <c r="E59" s="285"/>
    </row>
    <row r="60" spans="1:11" x14ac:dyDescent="0.3">
      <c r="A60" s="191"/>
      <c r="B60" s="29" t="s">
        <v>38</v>
      </c>
      <c r="C60" s="286" t="s">
        <v>121</v>
      </c>
      <c r="D60" s="287"/>
      <c r="E60" s="288"/>
      <c r="K60" s="30"/>
    </row>
    <row r="61" spans="1:11" s="32" customFormat="1" hidden="1" x14ac:dyDescent="0.4">
      <c r="A61" s="111" t="s">
        <v>39</v>
      </c>
      <c r="B61" s="290" t="s">
        <v>629</v>
      </c>
      <c r="C61" s="290"/>
      <c r="D61" s="290"/>
      <c r="E61" s="291"/>
    </row>
    <row r="62" spans="1:11" x14ac:dyDescent="0.3">
      <c r="A62" s="191"/>
      <c r="B62" s="73"/>
      <c r="C62" s="73"/>
      <c r="D62" s="73"/>
      <c r="E62" s="73"/>
      <c r="F62" s="73"/>
    </row>
    <row r="63" spans="1:11" x14ac:dyDescent="0.3">
      <c r="A63" s="3">
        <v>11</v>
      </c>
      <c r="B63" s="54" t="s">
        <v>41</v>
      </c>
      <c r="C63" s="270" t="s">
        <v>121</v>
      </c>
      <c r="D63" s="270"/>
      <c r="E63" s="270"/>
      <c r="F63" s="2"/>
      <c r="G63" s="2"/>
      <c r="H63" s="74"/>
      <c r="I63" s="2"/>
      <c r="J63" s="2"/>
    </row>
    <row r="64" spans="1:11" ht="20.7" customHeight="1" x14ac:dyDescent="0.3">
      <c r="A64" s="3"/>
      <c r="B64" s="66"/>
      <c r="C64" s="270"/>
      <c r="D64" s="270"/>
      <c r="E64" s="270"/>
      <c r="F64" s="66"/>
      <c r="G64" s="66"/>
      <c r="H64" s="75"/>
      <c r="I64" s="75"/>
      <c r="J64" s="66"/>
    </row>
    <row r="65" spans="1:14" s="42" customFormat="1" x14ac:dyDescent="0.3">
      <c r="A65" s="76">
        <v>12</v>
      </c>
      <c r="B65" s="77" t="s">
        <v>42</v>
      </c>
      <c r="C65" s="272"/>
      <c r="D65" s="273"/>
      <c r="E65" s="274"/>
      <c r="F65" s="78"/>
      <c r="G65" s="79"/>
      <c r="H65" s="79"/>
      <c r="I65" s="79"/>
      <c r="J65" s="79"/>
      <c r="K65" s="79"/>
      <c r="L65" s="79"/>
      <c r="M65" s="79"/>
      <c r="N65" s="79"/>
    </row>
    <row r="66" spans="1:14" x14ac:dyDescent="0.3">
      <c r="A66" s="3"/>
      <c r="B66" s="2"/>
      <c r="C66" s="2"/>
      <c r="D66" s="2"/>
      <c r="E66" s="74"/>
      <c r="F66" s="74"/>
      <c r="G66" s="74"/>
      <c r="H66" s="2"/>
      <c r="I66" s="2"/>
      <c r="J66" s="2"/>
      <c r="K66" s="2"/>
      <c r="L66" s="2"/>
      <c r="M66" s="2"/>
      <c r="N66" s="2"/>
    </row>
    <row r="67" spans="1:14" x14ac:dyDescent="0.3">
      <c r="A67" s="3"/>
      <c r="B67" s="67" t="s">
        <v>43</v>
      </c>
      <c r="C67" s="68" t="s">
        <v>428</v>
      </c>
      <c r="D67" s="66"/>
      <c r="E67" s="66"/>
      <c r="F67" s="75"/>
      <c r="G67" s="75"/>
      <c r="H67" s="66"/>
      <c r="I67" s="66"/>
      <c r="J67" s="66"/>
      <c r="K67" s="66"/>
      <c r="L67" s="66"/>
      <c r="M67" s="66"/>
      <c r="N67" s="66"/>
    </row>
    <row r="68" spans="1:14" x14ac:dyDescent="0.3">
      <c r="A68" s="3"/>
      <c r="B68" s="66"/>
      <c r="C68" s="66"/>
      <c r="D68" s="66"/>
      <c r="E68" s="66"/>
      <c r="F68" s="66"/>
      <c r="G68" s="66"/>
      <c r="H68" s="66"/>
      <c r="I68" s="66"/>
      <c r="J68" s="66"/>
      <c r="K68" s="66"/>
      <c r="L68" s="66"/>
      <c r="M68" s="66"/>
      <c r="N68" s="66"/>
    </row>
    <row r="69" spans="1:14" ht="104.4" customHeight="1" x14ac:dyDescent="0.3">
      <c r="A69" s="3"/>
      <c r="B69" s="295" t="s">
        <v>44</v>
      </c>
      <c r="C69" s="295" t="s">
        <v>429</v>
      </c>
      <c r="D69" s="295" t="s">
        <v>68</v>
      </c>
      <c r="E69" s="297" t="s">
        <v>45</v>
      </c>
      <c r="F69" s="292" t="s">
        <v>480</v>
      </c>
      <c r="G69" s="293"/>
      <c r="H69" s="294"/>
      <c r="I69" s="292" t="s">
        <v>481</v>
      </c>
      <c r="J69" s="293"/>
      <c r="K69" s="294"/>
      <c r="L69" s="292" t="s">
        <v>482</v>
      </c>
      <c r="M69" s="293"/>
      <c r="N69" s="294"/>
    </row>
    <row r="70" spans="1:14" ht="102" x14ac:dyDescent="0.3">
      <c r="A70" s="3"/>
      <c r="B70" s="296"/>
      <c r="C70" s="296"/>
      <c r="D70" s="296"/>
      <c r="E70" s="298"/>
      <c r="F70" s="67" t="s">
        <v>46</v>
      </c>
      <c r="G70" s="67" t="s">
        <v>47</v>
      </c>
      <c r="H70" s="67" t="s">
        <v>48</v>
      </c>
      <c r="I70" s="67" t="s">
        <v>49</v>
      </c>
      <c r="J70" s="67" t="s">
        <v>47</v>
      </c>
      <c r="K70" s="67" t="s">
        <v>48</v>
      </c>
      <c r="L70" s="67" t="s">
        <v>49</v>
      </c>
      <c r="M70" s="67" t="s">
        <v>47</v>
      </c>
      <c r="N70" s="67" t="s">
        <v>48</v>
      </c>
    </row>
    <row r="71" spans="1:14" ht="105" customHeight="1" x14ac:dyDescent="0.3">
      <c r="A71" s="3"/>
      <c r="B71" s="67" t="s">
        <v>112</v>
      </c>
      <c r="C71" s="82">
        <v>74.55</v>
      </c>
      <c r="D71" s="82">
        <v>139.80000000000001</v>
      </c>
      <c r="E71" s="82">
        <v>310.89999999999998</v>
      </c>
      <c r="F71" s="121">
        <v>198.35</v>
      </c>
      <c r="G71" s="121">
        <v>388.5</v>
      </c>
      <c r="H71" s="121">
        <v>71</v>
      </c>
      <c r="I71" s="121">
        <v>196.1</v>
      </c>
      <c r="J71" s="121">
        <v>250</v>
      </c>
      <c r="K71" s="121">
        <v>138.65</v>
      </c>
      <c r="L71" s="345" t="s">
        <v>108</v>
      </c>
      <c r="M71" s="346"/>
      <c r="N71" s="347"/>
    </row>
    <row r="72" spans="1:14" ht="40.799999999999997" x14ac:dyDescent="0.3">
      <c r="A72" s="3"/>
      <c r="B72" s="69" t="s">
        <v>113</v>
      </c>
      <c r="C72" s="82">
        <v>73876.820000000007</v>
      </c>
      <c r="D72" s="82">
        <v>74611.11</v>
      </c>
      <c r="E72" s="82">
        <v>79476.19</v>
      </c>
      <c r="F72" s="51">
        <v>77414.92</v>
      </c>
      <c r="G72" s="51">
        <v>85978.25</v>
      </c>
      <c r="H72" s="51">
        <v>70234.429999999993</v>
      </c>
      <c r="I72" s="121">
        <v>71947.55</v>
      </c>
      <c r="J72" s="121">
        <v>86159.02</v>
      </c>
      <c r="K72" s="121">
        <v>71425.009999999995</v>
      </c>
      <c r="L72" s="348"/>
      <c r="M72" s="349"/>
      <c r="N72" s="350"/>
    </row>
    <row r="73" spans="1:14" ht="20.25" customHeight="1" x14ac:dyDescent="0.3">
      <c r="A73" s="3"/>
      <c r="B73" s="253" t="s">
        <v>344</v>
      </c>
      <c r="C73" s="270"/>
      <c r="D73" s="270"/>
      <c r="E73" s="270"/>
      <c r="F73" s="270"/>
      <c r="G73" s="270"/>
      <c r="H73" s="270"/>
      <c r="I73" s="270"/>
      <c r="J73" s="270"/>
      <c r="K73" s="270"/>
      <c r="L73" s="270"/>
      <c r="M73" s="270"/>
      <c r="N73" s="254"/>
    </row>
    <row r="74" spans="1:14" ht="20.25" customHeight="1" x14ac:dyDescent="0.3">
      <c r="A74" s="3"/>
      <c r="B74" s="253" t="s">
        <v>345</v>
      </c>
      <c r="C74" s="270"/>
      <c r="D74" s="270"/>
      <c r="E74" s="270"/>
      <c r="F74" s="254"/>
      <c r="G74" s="83"/>
      <c r="H74" s="83"/>
      <c r="I74" s="83"/>
      <c r="J74" s="83"/>
      <c r="K74" s="83"/>
      <c r="L74" s="83"/>
      <c r="M74" s="83"/>
      <c r="N74" s="83"/>
    </row>
    <row r="75" spans="1:14" ht="20.25" customHeight="1" x14ac:dyDescent="0.3">
      <c r="A75" s="3"/>
      <c r="B75" s="253" t="s">
        <v>70</v>
      </c>
      <c r="C75" s="270"/>
      <c r="D75" s="270"/>
      <c r="E75" s="270"/>
      <c r="F75" s="254"/>
      <c r="G75" s="83"/>
      <c r="H75" s="83"/>
      <c r="I75" s="83"/>
      <c r="J75" s="83"/>
      <c r="K75" s="83"/>
      <c r="L75" s="83"/>
      <c r="M75" s="83"/>
      <c r="N75" s="83"/>
    </row>
    <row r="76" spans="1:14" x14ac:dyDescent="0.3">
      <c r="A76" s="3"/>
      <c r="B76" s="253" t="s">
        <v>71</v>
      </c>
      <c r="C76" s="270"/>
      <c r="D76" s="270"/>
      <c r="E76" s="270"/>
      <c r="F76" s="254"/>
      <c r="G76" s="83"/>
      <c r="H76" s="83"/>
      <c r="I76" s="83"/>
      <c r="J76" s="83"/>
      <c r="K76" s="83"/>
      <c r="L76" s="83"/>
      <c r="M76" s="83"/>
      <c r="N76" s="83"/>
    </row>
    <row r="77" spans="1:14" x14ac:dyDescent="0.3">
      <c r="A77" s="3"/>
      <c r="B77" s="403" t="s">
        <v>963</v>
      </c>
      <c r="C77" s="403"/>
      <c r="D77" s="84"/>
      <c r="E77" s="84"/>
      <c r="F77" s="84"/>
      <c r="G77" s="10"/>
      <c r="H77" s="10"/>
      <c r="I77" s="10"/>
      <c r="J77" s="10"/>
      <c r="K77" s="10"/>
      <c r="L77" s="10"/>
      <c r="M77" s="10"/>
      <c r="N77" s="10"/>
    </row>
    <row r="78" spans="1:14" ht="46.8" customHeight="1" x14ac:dyDescent="0.3">
      <c r="A78" s="3">
        <v>13</v>
      </c>
      <c r="B78" s="261" t="s">
        <v>51</v>
      </c>
      <c r="C78" s="262"/>
      <c r="D78" s="262"/>
      <c r="E78" s="262"/>
      <c r="F78" s="262"/>
      <c r="G78" s="263"/>
      <c r="H78" s="2"/>
      <c r="I78" s="2"/>
      <c r="J78" s="2"/>
      <c r="K78" s="2"/>
      <c r="L78" s="2"/>
      <c r="M78" s="2"/>
      <c r="N78" s="2"/>
    </row>
    <row r="79" spans="1:14" x14ac:dyDescent="0.3">
      <c r="A79" s="3"/>
      <c r="C79" s="66"/>
      <c r="D79" s="66"/>
      <c r="E79" s="66"/>
      <c r="F79" s="66"/>
      <c r="G79" s="66"/>
      <c r="H79" s="66"/>
      <c r="I79" s="66"/>
      <c r="J79" s="66"/>
      <c r="K79" s="66"/>
      <c r="L79" s="66"/>
      <c r="M79" s="66"/>
      <c r="N79" s="66"/>
    </row>
    <row r="80" spans="1:14" ht="61.2" x14ac:dyDescent="0.3">
      <c r="A80" s="3"/>
      <c r="B80" s="25" t="s">
        <v>52</v>
      </c>
      <c r="C80" s="25" t="s">
        <v>53</v>
      </c>
      <c r="D80" s="25" t="s">
        <v>996</v>
      </c>
      <c r="E80" s="25" t="s">
        <v>54</v>
      </c>
      <c r="F80" s="25" t="s">
        <v>55</v>
      </c>
      <c r="G80" s="25" t="s">
        <v>56</v>
      </c>
      <c r="H80" s="10"/>
      <c r="I80" s="10"/>
      <c r="J80" s="10"/>
      <c r="K80" s="10"/>
      <c r="L80" s="10"/>
      <c r="M80" s="10"/>
      <c r="N80" s="10"/>
    </row>
    <row r="81" spans="1:17" ht="21" customHeight="1" x14ac:dyDescent="0.3">
      <c r="A81" s="3"/>
      <c r="B81" s="297" t="s">
        <v>72</v>
      </c>
      <c r="C81" s="54" t="s">
        <v>430</v>
      </c>
      <c r="D81" s="134">
        <v>242.66</v>
      </c>
      <c r="E81" s="88">
        <v>5.91</v>
      </c>
      <c r="F81" s="152">
        <v>12.2</v>
      </c>
      <c r="G81" s="467" t="s">
        <v>682</v>
      </c>
    </row>
    <row r="82" spans="1:17" ht="21" customHeight="1" x14ac:dyDescent="0.3">
      <c r="A82" s="3"/>
      <c r="B82" s="309"/>
      <c r="C82" s="54" t="s">
        <v>237</v>
      </c>
      <c r="D82" s="135"/>
      <c r="E82" s="88"/>
      <c r="F82" s="152"/>
      <c r="G82" s="468"/>
    </row>
    <row r="83" spans="1:17" ht="21" customHeight="1" x14ac:dyDescent="0.3">
      <c r="A83" s="3"/>
      <c r="B83" s="309"/>
      <c r="C83" s="5" t="s">
        <v>964</v>
      </c>
      <c r="D83" s="135">
        <v>10.53</v>
      </c>
      <c r="E83" s="88">
        <v>7.11</v>
      </c>
      <c r="F83" s="152">
        <v>5.47</v>
      </c>
      <c r="G83" s="468"/>
    </row>
    <row r="84" spans="1:17" ht="21" customHeight="1" x14ac:dyDescent="0.3">
      <c r="A84" s="3"/>
      <c r="B84" s="309"/>
      <c r="C84" s="5" t="s">
        <v>431</v>
      </c>
      <c r="D84" s="135">
        <v>0.87</v>
      </c>
      <c r="E84" s="88">
        <v>-0.08</v>
      </c>
      <c r="F84" s="152" t="s">
        <v>682</v>
      </c>
      <c r="G84" s="468"/>
    </row>
    <row r="85" spans="1:17" ht="21" customHeight="1" x14ac:dyDescent="0.3">
      <c r="A85" s="3"/>
      <c r="B85" s="298"/>
      <c r="C85" s="54" t="s">
        <v>295</v>
      </c>
      <c r="D85" s="140">
        <f>AVERAGE(D83:D84)</f>
        <v>5.6999999999999993</v>
      </c>
      <c r="E85" s="157">
        <f>AVERAGE(E83:E84)</f>
        <v>3.5150000000000001</v>
      </c>
      <c r="F85" s="181">
        <f>AVERAGE(F81:F84)</f>
        <v>8.8349999999999991</v>
      </c>
      <c r="G85" s="468"/>
    </row>
    <row r="86" spans="1:17" x14ac:dyDescent="0.3">
      <c r="A86" s="3"/>
      <c r="B86" s="297" t="s">
        <v>59</v>
      </c>
      <c r="C86" s="54" t="s">
        <v>430</v>
      </c>
      <c r="D86" s="135">
        <v>0.28999999999999998</v>
      </c>
      <c r="E86" s="90">
        <f>O86/E81</f>
        <v>33.561759729272417</v>
      </c>
      <c r="F86" s="159">
        <f>I71/F81</f>
        <v>16.07377049180328</v>
      </c>
      <c r="G86" s="468"/>
      <c r="O86" s="121">
        <v>198.35</v>
      </c>
    </row>
    <row r="87" spans="1:17" x14ac:dyDescent="0.3">
      <c r="A87" s="3"/>
      <c r="B87" s="309"/>
      <c r="C87" s="54" t="s">
        <v>237</v>
      </c>
      <c r="D87" s="135"/>
      <c r="E87" s="90"/>
      <c r="F87" s="152"/>
      <c r="G87" s="468"/>
    </row>
    <row r="88" spans="1:17" x14ac:dyDescent="0.3">
      <c r="A88" s="3"/>
      <c r="B88" s="309"/>
      <c r="C88" s="5" t="s">
        <v>684</v>
      </c>
      <c r="D88" s="135">
        <v>29.63</v>
      </c>
      <c r="E88" s="90">
        <f>O88/E83</f>
        <v>35.161744022503512</v>
      </c>
      <c r="F88" s="159">
        <f>347.6/F83</f>
        <v>63.546617915904946</v>
      </c>
      <c r="G88" s="468"/>
      <c r="O88" s="1">
        <v>250</v>
      </c>
    </row>
    <row r="89" spans="1:17" x14ac:dyDescent="0.3">
      <c r="A89" s="3"/>
      <c r="B89" s="309"/>
      <c r="C89" s="5" t="s">
        <v>431</v>
      </c>
      <c r="D89" s="135">
        <v>10.28</v>
      </c>
      <c r="E89" s="90">
        <f>O89/E84</f>
        <v>-73.125</v>
      </c>
      <c r="F89" s="152" t="s">
        <v>682</v>
      </c>
      <c r="G89" s="468"/>
      <c r="O89" s="1">
        <v>5.85</v>
      </c>
    </row>
    <row r="90" spans="1:17" ht="24.6" customHeight="1" x14ac:dyDescent="0.3">
      <c r="A90" s="3"/>
      <c r="B90" s="298"/>
      <c r="C90" s="54" t="s">
        <v>295</v>
      </c>
      <c r="D90" s="140">
        <f>AVERAGE(D88:D89)</f>
        <v>19.954999999999998</v>
      </c>
      <c r="E90" s="157">
        <f>AVERAGE(E88:E89)</f>
        <v>-18.981627988748244</v>
      </c>
      <c r="F90" s="181">
        <f>AVERAGE(F86:F89)</f>
        <v>39.81019420385411</v>
      </c>
      <c r="G90" s="468"/>
      <c r="O90" s="1" t="s">
        <v>652</v>
      </c>
      <c r="P90" s="1" t="s">
        <v>645</v>
      </c>
    </row>
    <row r="91" spans="1:17" x14ac:dyDescent="0.3">
      <c r="A91" s="3"/>
      <c r="B91" s="297" t="s">
        <v>60</v>
      </c>
      <c r="C91" s="54" t="s">
        <v>430</v>
      </c>
      <c r="D91" s="142">
        <v>0.35510000000000003</v>
      </c>
      <c r="E91" s="110">
        <f>O91/P91</f>
        <v>0.1763919769147074</v>
      </c>
      <c r="F91" s="154">
        <v>0.26690000000000003</v>
      </c>
      <c r="G91" s="468"/>
      <c r="O91" s="1">
        <v>149.15</v>
      </c>
      <c r="P91" s="1">
        <f>252.36+593.2</f>
        <v>845.56000000000006</v>
      </c>
      <c r="Q91" s="1">
        <v>84556000</v>
      </c>
    </row>
    <row r="92" spans="1:17" x14ac:dyDescent="0.3">
      <c r="A92" s="3"/>
      <c r="B92" s="309"/>
      <c r="C92" s="54" t="s">
        <v>237</v>
      </c>
      <c r="D92" s="5"/>
      <c r="E92" s="88"/>
      <c r="F92" s="152"/>
      <c r="G92" s="468"/>
    </row>
    <row r="93" spans="1:17" x14ac:dyDescent="0.3">
      <c r="A93" s="3"/>
      <c r="B93" s="309"/>
      <c r="C93" s="5" t="s">
        <v>684</v>
      </c>
      <c r="D93" s="126">
        <v>0.14949999999999999</v>
      </c>
      <c r="E93" s="110">
        <f>O93/P93</f>
        <v>8.3620778407316368E-2</v>
      </c>
      <c r="F93" s="154">
        <v>6.1600000000000002E-2</v>
      </c>
      <c r="G93" s="468"/>
      <c r="O93" s="1">
        <v>966.55</v>
      </c>
      <c r="P93" s="1">
        <f>1360.04+10198.69</f>
        <v>11558.73</v>
      </c>
      <c r="Q93" s="1">
        <v>1155873000</v>
      </c>
    </row>
    <row r="94" spans="1:17" x14ac:dyDescent="0.3">
      <c r="A94" s="3"/>
      <c r="B94" s="309"/>
      <c r="C94" s="5" t="s">
        <v>431</v>
      </c>
      <c r="D94" s="126">
        <v>5.2600000000000001E-2</v>
      </c>
      <c r="E94" s="110">
        <f>O94/P94</f>
        <v>-7.7215398648898832E-3</v>
      </c>
      <c r="F94" s="152" t="s">
        <v>682</v>
      </c>
      <c r="G94" s="468"/>
      <c r="O94" s="1">
        <v>-45.88</v>
      </c>
      <c r="P94" s="1">
        <v>5941.82</v>
      </c>
      <c r="Q94" s="1">
        <v>594182000</v>
      </c>
    </row>
    <row r="95" spans="1:17" x14ac:dyDescent="0.3">
      <c r="A95" s="3"/>
      <c r="B95" s="298"/>
      <c r="C95" s="54" t="s">
        <v>295</v>
      </c>
      <c r="D95" s="143">
        <f>AVERAGE(D93:D94)</f>
        <v>0.10105</v>
      </c>
      <c r="E95" s="131">
        <f>AVERAGE(E93:E94)</f>
        <v>3.7949619271213243E-2</v>
      </c>
      <c r="F95" s="154">
        <f>AVERAGE(F91:F94)</f>
        <v>0.16425000000000001</v>
      </c>
      <c r="G95" s="468"/>
    </row>
    <row r="96" spans="1:17" x14ac:dyDescent="0.3">
      <c r="A96" s="3"/>
      <c r="B96" s="310" t="s">
        <v>61</v>
      </c>
      <c r="C96" s="54" t="s">
        <v>430</v>
      </c>
      <c r="D96" s="135">
        <v>42.71</v>
      </c>
      <c r="E96" s="90">
        <f>Q91/O96</f>
        <v>33.506314828434483</v>
      </c>
      <c r="F96" s="159">
        <v>45.7</v>
      </c>
      <c r="G96" s="468"/>
      <c r="O96" s="1">
        <v>2523584</v>
      </c>
    </row>
    <row r="97" spans="1:16" x14ac:dyDescent="0.3">
      <c r="A97" s="3"/>
      <c r="B97" s="310"/>
      <c r="C97" s="54" t="s">
        <v>237</v>
      </c>
      <c r="D97" s="135"/>
      <c r="E97" s="88"/>
      <c r="F97" s="152"/>
      <c r="G97" s="468"/>
    </row>
    <row r="98" spans="1:16" x14ac:dyDescent="0.3">
      <c r="A98" s="3"/>
      <c r="B98" s="310"/>
      <c r="C98" s="5" t="s">
        <v>684</v>
      </c>
      <c r="D98" s="135">
        <v>70.400000000000006</v>
      </c>
      <c r="E98" s="90">
        <f>Q93/O98</f>
        <v>84.988162112879039</v>
      </c>
      <c r="F98" s="152">
        <v>88.86</v>
      </c>
      <c r="G98" s="468"/>
      <c r="O98" s="1">
        <v>13600400</v>
      </c>
    </row>
    <row r="99" spans="1:16" ht="23.4" customHeight="1" x14ac:dyDescent="0.3">
      <c r="A99" s="3"/>
      <c r="B99" s="310"/>
      <c r="C99" s="5" t="s">
        <v>431</v>
      </c>
      <c r="D99" s="135">
        <v>11.09</v>
      </c>
      <c r="E99" s="90">
        <f>Q94/P99</f>
        <v>9.9130703170293248</v>
      </c>
      <c r="F99" s="152" t="s">
        <v>682</v>
      </c>
      <c r="G99" s="468"/>
      <c r="O99" s="172" t="s">
        <v>685</v>
      </c>
      <c r="P99" s="1">
        <v>59939250</v>
      </c>
    </row>
    <row r="100" spans="1:16" x14ac:dyDescent="0.35">
      <c r="A100" s="3"/>
      <c r="B100" s="310"/>
      <c r="C100" s="54" t="s">
        <v>295</v>
      </c>
      <c r="D100" s="144">
        <f>AVERAGE(D98:D99)</f>
        <v>40.745000000000005</v>
      </c>
      <c r="E100" s="157">
        <f>AVERAGE(E98:E99)</f>
        <v>47.450616214954181</v>
      </c>
      <c r="F100" s="181">
        <f>AVERAGE(F96:F99)</f>
        <v>67.28</v>
      </c>
      <c r="G100" s="469"/>
    </row>
    <row r="101" spans="1:16" x14ac:dyDescent="0.3">
      <c r="A101" s="3"/>
      <c r="B101" s="301"/>
      <c r="C101" s="302"/>
      <c r="D101" s="302"/>
      <c r="E101" s="302"/>
      <c r="F101" s="302"/>
      <c r="G101" s="303"/>
    </row>
    <row r="102" spans="1:16" s="2" customFormat="1" x14ac:dyDescent="0.3">
      <c r="B102" s="253" t="s">
        <v>994</v>
      </c>
      <c r="C102" s="270"/>
      <c r="D102" s="270"/>
      <c r="E102" s="270"/>
      <c r="F102" s="270"/>
      <c r="G102" s="254"/>
    </row>
    <row r="103" spans="1:16" x14ac:dyDescent="0.3">
      <c r="A103" s="3"/>
      <c r="B103" s="253" t="s">
        <v>995</v>
      </c>
      <c r="C103" s="270"/>
      <c r="D103" s="270"/>
      <c r="E103" s="270"/>
      <c r="F103" s="270"/>
      <c r="G103" s="254"/>
    </row>
    <row r="104" spans="1:16" x14ac:dyDescent="0.3">
      <c r="C104" s="402"/>
      <c r="D104" s="402"/>
      <c r="E104" s="402"/>
      <c r="F104" s="402"/>
      <c r="G104" s="402"/>
    </row>
    <row r="105" spans="1:16" x14ac:dyDescent="0.3">
      <c r="A105" s="3">
        <v>14</v>
      </c>
      <c r="B105" s="54" t="s">
        <v>63</v>
      </c>
      <c r="C105" s="307" t="s">
        <v>50</v>
      </c>
      <c r="D105" s="308"/>
      <c r="E105" s="308"/>
      <c r="F105" s="308"/>
      <c r="G105" s="249"/>
    </row>
    <row r="106" spans="1:16" x14ac:dyDescent="0.3">
      <c r="C106" s="55"/>
      <c r="D106" s="55"/>
      <c r="E106" s="55"/>
      <c r="F106" s="55"/>
      <c r="G106" s="55"/>
    </row>
    <row r="107" spans="1:16" x14ac:dyDescent="0.3">
      <c r="B107" s="299" t="s">
        <v>472</v>
      </c>
      <c r="C107" s="299"/>
      <c r="D107" s="299"/>
      <c r="E107" s="299"/>
      <c r="F107" s="299"/>
      <c r="G107" s="299"/>
      <c r="H107" s="299"/>
    </row>
    <row r="112" spans="1:16" x14ac:dyDescent="0.3">
      <c r="D112" s="56"/>
      <c r="E112" s="56"/>
    </row>
    <row r="113" spans="5:5" x14ac:dyDescent="0.3">
      <c r="E113" s="56"/>
    </row>
  </sheetData>
  <mergeCells count="65">
    <mergeCell ref="C105:G105"/>
    <mergeCell ref="B107:H107"/>
    <mergeCell ref="B76:F76"/>
    <mergeCell ref="B77:C77"/>
    <mergeCell ref="B78:G78"/>
    <mergeCell ref="B81:B85"/>
    <mergeCell ref="G81:G100"/>
    <mergeCell ref="B86:B90"/>
    <mergeCell ref="B91:B95"/>
    <mergeCell ref="B96:B100"/>
    <mergeCell ref="B101:G101"/>
    <mergeCell ref="B102:G102"/>
    <mergeCell ref="B103:G103"/>
    <mergeCell ref="C104:G104"/>
    <mergeCell ref="B74:F74"/>
    <mergeCell ref="B75:F75"/>
    <mergeCell ref="C69:C70"/>
    <mergeCell ref="D69:D70"/>
    <mergeCell ref="E69:E70"/>
    <mergeCell ref="F69:H69"/>
    <mergeCell ref="B69:B70"/>
    <mergeCell ref="C60:E60"/>
    <mergeCell ref="C59:E59"/>
    <mergeCell ref="B61:E61"/>
    <mergeCell ref="C63:E63"/>
    <mergeCell ref="C64:E64"/>
    <mergeCell ref="L69:N69"/>
    <mergeCell ref="L71:N72"/>
    <mergeCell ref="B73:N73"/>
    <mergeCell ref="I69:K69"/>
    <mergeCell ref="C65:E65"/>
    <mergeCell ref="B43:B46"/>
    <mergeCell ref="C43:E46"/>
    <mergeCell ref="C47:E47"/>
    <mergeCell ref="B48:E48"/>
    <mergeCell ref="B57:B58"/>
    <mergeCell ref="C57:E58"/>
    <mergeCell ref="B54:E54"/>
    <mergeCell ref="B56:E56"/>
    <mergeCell ref="B39:D39"/>
    <mergeCell ref="C21:E21"/>
    <mergeCell ref="C22:E22"/>
    <mergeCell ref="C23:E23"/>
    <mergeCell ref="C24:E24"/>
    <mergeCell ref="B26:E26"/>
    <mergeCell ref="B27:E27"/>
    <mergeCell ref="E29:E32"/>
    <mergeCell ref="B33:E33"/>
    <mergeCell ref="B35:E35"/>
    <mergeCell ref="B41:E41"/>
    <mergeCell ref="C42:E42"/>
    <mergeCell ref="B50:E50"/>
    <mergeCell ref="B53:E53"/>
    <mergeCell ref="C20:E20"/>
    <mergeCell ref="A1:B1"/>
    <mergeCell ref="C3:E3"/>
    <mergeCell ref="C5:E5"/>
    <mergeCell ref="B6:D6"/>
    <mergeCell ref="B9:D9"/>
    <mergeCell ref="C11:E11"/>
    <mergeCell ref="B12:D12"/>
    <mergeCell ref="C14:E14"/>
    <mergeCell ref="B15:D15"/>
    <mergeCell ref="B17:C17"/>
    <mergeCell ref="B19:E19"/>
  </mergeCells>
  <pageMargins left="0.70866141732283472" right="0.70866141732283472" top="0.74803149606299213" bottom="0.74803149606299213" header="0.31496062992125984" footer="0.31496062992125984"/>
  <pageSetup paperSize="9" scale="28" fitToWidth="70" fitToHeight="2" orientation="landscape" horizontalDpi="4294967292" verticalDpi="1200" r:id="rId1"/>
  <rowBreaks count="1" manualBreakCount="1">
    <brk id="52"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D6712-AAA5-4228-A634-B9A15235FF90}">
  <dimension ref="A1:N111"/>
  <sheetViews>
    <sheetView view="pageBreakPreview" zoomScale="46" zoomScaleNormal="51" zoomScaleSheetLayoutView="82" workbookViewId="0">
      <selection activeCell="C21" sqref="C21:E21"/>
    </sheetView>
  </sheetViews>
  <sheetFormatPr defaultColWidth="8.6640625" defaultRowHeight="14.4" x14ac:dyDescent="0.3"/>
  <cols>
    <col min="2" max="2" width="58.33203125" customWidth="1"/>
    <col min="3" max="3" width="81" customWidth="1"/>
    <col min="4" max="4" width="73.109375" customWidth="1"/>
    <col min="5" max="5" width="23.21875" customWidth="1"/>
    <col min="6" max="7" width="12" customWidth="1"/>
    <col min="8" max="8" width="15.44140625" customWidth="1"/>
    <col min="9" max="10" width="13.77734375" bestFit="1" customWidth="1"/>
    <col min="11" max="11" width="13.21875" bestFit="1" customWidth="1"/>
  </cols>
  <sheetData>
    <row r="1" spans="1:14" ht="21" x14ac:dyDescent="0.3">
      <c r="A1" s="246" t="s">
        <v>0</v>
      </c>
      <c r="B1" s="246"/>
      <c r="C1" s="1"/>
      <c r="D1" s="2"/>
      <c r="E1" s="1"/>
      <c r="F1" s="1"/>
      <c r="G1" s="1"/>
      <c r="H1" s="1"/>
      <c r="I1" s="1"/>
      <c r="J1" s="1"/>
      <c r="K1" s="1"/>
      <c r="L1" s="1"/>
      <c r="M1" s="1"/>
      <c r="N1" s="1"/>
    </row>
    <row r="2" spans="1:14" ht="21" x14ac:dyDescent="0.3">
      <c r="A2" s="1"/>
      <c r="B2" s="1"/>
      <c r="C2" s="1"/>
      <c r="D2" s="1"/>
      <c r="E2" s="1"/>
      <c r="F2" s="1"/>
      <c r="G2" s="1"/>
      <c r="H2" s="1"/>
      <c r="I2" s="1"/>
      <c r="J2" s="1"/>
      <c r="K2" s="1"/>
      <c r="L2" s="1"/>
      <c r="M2" s="1"/>
      <c r="N2" s="1"/>
    </row>
    <row r="3" spans="1:14" ht="40.799999999999997" x14ac:dyDescent="0.3">
      <c r="A3" s="3" t="s">
        <v>1</v>
      </c>
      <c r="B3" s="54" t="s">
        <v>2</v>
      </c>
      <c r="C3" s="300" t="s">
        <v>432</v>
      </c>
      <c r="D3" s="300"/>
      <c r="E3" s="300"/>
      <c r="F3" s="1"/>
      <c r="G3" s="1"/>
      <c r="H3" s="1"/>
      <c r="I3" s="1"/>
      <c r="J3" s="1"/>
      <c r="K3" s="1"/>
      <c r="L3" s="1"/>
      <c r="M3" s="1"/>
      <c r="N3" s="1"/>
    </row>
    <row r="4" spans="1:14" ht="21" x14ac:dyDescent="0.3">
      <c r="A4" s="1"/>
      <c r="B4" s="1"/>
      <c r="C4" s="1"/>
      <c r="D4" s="22"/>
      <c r="E4" s="1"/>
      <c r="F4" s="1"/>
      <c r="G4" s="1"/>
      <c r="H4" s="1"/>
      <c r="I4" s="1"/>
      <c r="J4" s="1"/>
      <c r="K4" s="1"/>
      <c r="L4" s="1"/>
      <c r="M4" s="1"/>
      <c r="N4" s="1"/>
    </row>
    <row r="5" spans="1:14" ht="21" x14ac:dyDescent="0.3">
      <c r="A5" s="62">
        <v>1</v>
      </c>
      <c r="B5" s="63" t="s">
        <v>3</v>
      </c>
      <c r="C5" s="247" t="s">
        <v>132</v>
      </c>
      <c r="D5" s="248"/>
      <c r="E5" s="249"/>
      <c r="F5" s="1"/>
      <c r="G5" s="1"/>
      <c r="H5" s="1"/>
      <c r="I5" s="1"/>
      <c r="J5" s="1"/>
      <c r="K5" s="1"/>
      <c r="L5" s="1"/>
      <c r="M5" s="1"/>
      <c r="N5" s="1"/>
    </row>
    <row r="6" spans="1:14" ht="21" x14ac:dyDescent="0.3">
      <c r="A6" s="3"/>
      <c r="B6" s="250" t="s">
        <v>4</v>
      </c>
      <c r="C6" s="251"/>
      <c r="D6" s="252"/>
      <c r="E6" s="10"/>
      <c r="F6" s="1"/>
      <c r="G6" s="1"/>
      <c r="H6" s="1"/>
      <c r="I6" s="1"/>
      <c r="J6" s="1"/>
      <c r="K6" s="1"/>
      <c r="L6" s="1"/>
      <c r="M6" s="1"/>
      <c r="N6" s="1"/>
    </row>
    <row r="7" spans="1:14" ht="21" x14ac:dyDescent="0.3">
      <c r="A7" s="3"/>
      <c r="B7" s="2"/>
      <c r="C7" s="1"/>
      <c r="D7" s="22"/>
      <c r="E7" s="1"/>
      <c r="F7" s="1"/>
      <c r="G7" s="1"/>
      <c r="H7" s="1"/>
      <c r="I7" s="1"/>
      <c r="J7" s="1"/>
      <c r="K7" s="1"/>
      <c r="L7" s="1"/>
      <c r="M7" s="1"/>
      <c r="N7" s="1"/>
    </row>
    <row r="8" spans="1:14" ht="21" x14ac:dyDescent="0.3">
      <c r="A8" s="3">
        <v>2</v>
      </c>
      <c r="B8" s="63" t="s">
        <v>5</v>
      </c>
      <c r="C8" s="12" t="s">
        <v>433</v>
      </c>
      <c r="D8" s="22"/>
      <c r="E8" s="1"/>
      <c r="F8" s="1"/>
      <c r="G8" s="1"/>
      <c r="H8" s="1"/>
      <c r="I8" s="1"/>
      <c r="J8" s="1"/>
      <c r="K8" s="1"/>
      <c r="L8" s="1"/>
      <c r="M8" s="1"/>
      <c r="N8" s="1"/>
    </row>
    <row r="9" spans="1:14" ht="21" x14ac:dyDescent="0.3">
      <c r="A9" s="3"/>
      <c r="B9" s="250" t="s">
        <v>4</v>
      </c>
      <c r="C9" s="251"/>
      <c r="D9" s="252"/>
      <c r="E9" s="1"/>
      <c r="F9" s="1"/>
      <c r="G9" s="1"/>
      <c r="H9" s="1"/>
      <c r="I9" s="1"/>
      <c r="J9" s="1"/>
      <c r="K9" s="1"/>
      <c r="L9" s="1"/>
      <c r="M9" s="1"/>
      <c r="N9" s="1"/>
    </row>
    <row r="10" spans="1:14" ht="21" x14ac:dyDescent="0.3">
      <c r="A10" s="3"/>
      <c r="B10" s="2"/>
      <c r="C10" s="1"/>
      <c r="D10" s="22"/>
      <c r="E10" s="1"/>
      <c r="F10" s="1"/>
      <c r="G10" s="1"/>
      <c r="H10" s="1"/>
      <c r="I10" s="1"/>
      <c r="J10" s="1"/>
      <c r="K10" s="1"/>
      <c r="L10" s="1"/>
      <c r="M10" s="1"/>
      <c r="N10" s="1"/>
    </row>
    <row r="11" spans="1:14" ht="40.799999999999997" x14ac:dyDescent="0.3">
      <c r="A11" s="3">
        <v>3</v>
      </c>
      <c r="B11" s="63" t="s">
        <v>6</v>
      </c>
      <c r="C11" s="247" t="s">
        <v>90</v>
      </c>
      <c r="D11" s="248"/>
      <c r="E11" s="249"/>
      <c r="F11" s="1"/>
      <c r="G11" s="1"/>
      <c r="H11" s="1"/>
      <c r="I11" s="1"/>
      <c r="J11" s="1"/>
      <c r="K11" s="1"/>
      <c r="L11" s="1"/>
      <c r="M11" s="1"/>
      <c r="N11" s="1"/>
    </row>
    <row r="12" spans="1:14" ht="21" x14ac:dyDescent="0.3">
      <c r="A12" s="3"/>
      <c r="B12" s="250" t="s">
        <v>4</v>
      </c>
      <c r="C12" s="251"/>
      <c r="D12" s="252"/>
      <c r="E12" s="10"/>
      <c r="F12" s="1"/>
      <c r="G12" s="1"/>
      <c r="H12" s="1"/>
      <c r="I12" s="1"/>
      <c r="J12" s="1"/>
      <c r="K12" s="1"/>
      <c r="L12" s="1"/>
      <c r="M12" s="1"/>
      <c r="N12" s="1"/>
    </row>
    <row r="13" spans="1:14" ht="21" x14ac:dyDescent="0.3">
      <c r="A13" s="3"/>
      <c r="B13" s="2"/>
      <c r="C13" s="1"/>
      <c r="D13" s="22"/>
      <c r="E13" s="1"/>
      <c r="F13" s="1"/>
      <c r="G13" s="1"/>
      <c r="H13" s="1"/>
      <c r="I13" s="1"/>
      <c r="J13" s="1"/>
      <c r="K13" s="1"/>
      <c r="L13" s="1"/>
      <c r="M13" s="1"/>
      <c r="N13" s="1"/>
    </row>
    <row r="14" spans="1:14" ht="21" x14ac:dyDescent="0.3">
      <c r="A14" s="3">
        <v>4</v>
      </c>
      <c r="B14" s="54" t="s">
        <v>92</v>
      </c>
      <c r="C14" s="247" t="s">
        <v>90</v>
      </c>
      <c r="D14" s="248"/>
      <c r="E14" s="249"/>
      <c r="F14" s="1"/>
      <c r="G14" s="1"/>
      <c r="H14" s="1"/>
      <c r="I14" s="1"/>
      <c r="J14" s="1"/>
      <c r="K14" s="1"/>
      <c r="L14" s="1"/>
      <c r="M14" s="1"/>
      <c r="N14" s="1"/>
    </row>
    <row r="15" spans="1:14" ht="21" x14ac:dyDescent="0.3">
      <c r="A15" s="3"/>
      <c r="B15" s="250" t="s">
        <v>4</v>
      </c>
      <c r="C15" s="251"/>
      <c r="D15" s="252"/>
      <c r="E15" s="1"/>
      <c r="F15" s="1"/>
      <c r="G15" s="1"/>
      <c r="H15" s="1"/>
      <c r="I15" s="1"/>
      <c r="J15" s="1"/>
      <c r="K15" s="1"/>
      <c r="L15" s="1"/>
      <c r="M15" s="1"/>
      <c r="N15" s="1"/>
    </row>
    <row r="16" spans="1:14" ht="21" x14ac:dyDescent="0.3">
      <c r="A16" s="3">
        <v>4</v>
      </c>
      <c r="B16" s="54" t="s">
        <v>7</v>
      </c>
      <c r="C16" s="120" t="s">
        <v>434</v>
      </c>
      <c r="D16" s="22"/>
      <c r="E16" s="1"/>
      <c r="F16" s="1"/>
      <c r="G16" s="1"/>
      <c r="H16" s="1"/>
      <c r="I16" s="1"/>
      <c r="J16" s="1"/>
      <c r="K16" s="1"/>
      <c r="L16" s="1"/>
      <c r="M16" s="1"/>
      <c r="N16" s="1"/>
    </row>
    <row r="17" spans="1:14" ht="21" x14ac:dyDescent="0.3">
      <c r="A17" s="3"/>
      <c r="B17" s="253" t="s">
        <v>8</v>
      </c>
      <c r="C17" s="254"/>
      <c r="D17" s="22"/>
      <c r="E17" s="1"/>
      <c r="F17" s="1"/>
      <c r="G17" s="1"/>
      <c r="H17" s="1"/>
      <c r="I17" s="1"/>
      <c r="J17" s="1"/>
      <c r="K17" s="1"/>
      <c r="L17" s="1"/>
      <c r="M17" s="1"/>
      <c r="N17" s="1"/>
    </row>
    <row r="18" spans="1:14" ht="21" x14ac:dyDescent="0.3">
      <c r="A18" s="3"/>
      <c r="B18" s="1"/>
      <c r="C18" s="1"/>
      <c r="D18" s="22"/>
      <c r="E18" s="1"/>
      <c r="F18" s="1"/>
      <c r="G18" s="1"/>
      <c r="H18" s="1"/>
      <c r="I18" s="1"/>
      <c r="J18" s="1"/>
      <c r="K18" s="1"/>
      <c r="L18" s="1"/>
      <c r="M18" s="1"/>
      <c r="N18" s="1"/>
    </row>
    <row r="19" spans="1:14" ht="21" x14ac:dyDescent="0.3">
      <c r="A19" s="3">
        <v>5</v>
      </c>
      <c r="B19" s="255" t="s">
        <v>965</v>
      </c>
      <c r="C19" s="256"/>
      <c r="D19" s="256"/>
      <c r="E19" s="257"/>
      <c r="F19" s="2"/>
      <c r="G19" s="2"/>
      <c r="H19" s="2"/>
      <c r="I19" s="2"/>
      <c r="J19" s="10"/>
      <c r="K19" s="10"/>
      <c r="L19" s="10"/>
      <c r="M19" s="10"/>
      <c r="N19" s="10"/>
    </row>
    <row r="20" spans="1:14" ht="21" x14ac:dyDescent="0.3">
      <c r="A20" s="3"/>
      <c r="B20" s="65" t="s">
        <v>10</v>
      </c>
      <c r="C20" s="243" t="s">
        <v>11</v>
      </c>
      <c r="D20" s="244"/>
      <c r="E20" s="245"/>
      <c r="F20" s="66"/>
      <c r="G20" s="10"/>
      <c r="H20" s="10"/>
      <c r="I20" s="10"/>
      <c r="J20" s="10"/>
      <c r="K20" s="10"/>
      <c r="L20" s="10"/>
      <c r="M20" s="10"/>
      <c r="N20" s="10"/>
    </row>
    <row r="21" spans="1:14" ht="61.2" x14ac:dyDescent="0.3">
      <c r="A21" s="3"/>
      <c r="B21" s="65" t="s">
        <v>473</v>
      </c>
      <c r="C21" s="243" t="s">
        <v>493</v>
      </c>
      <c r="D21" s="244"/>
      <c r="E21" s="245"/>
      <c r="F21" s="66"/>
      <c r="G21" s="10"/>
      <c r="H21" s="1"/>
      <c r="I21" s="10"/>
      <c r="J21" s="10"/>
      <c r="K21" s="10"/>
      <c r="L21" s="10"/>
      <c r="M21" s="10"/>
      <c r="N21" s="10"/>
    </row>
    <row r="22" spans="1:14" ht="21" x14ac:dyDescent="0.3">
      <c r="A22" s="3"/>
      <c r="B22" s="65" t="s">
        <v>474</v>
      </c>
      <c r="C22" s="438" t="s">
        <v>11</v>
      </c>
      <c r="D22" s="439"/>
      <c r="E22" s="440"/>
      <c r="F22" s="66"/>
      <c r="G22" s="10"/>
      <c r="H22" s="10"/>
      <c r="I22" s="10"/>
      <c r="J22" s="10"/>
      <c r="K22" s="10"/>
      <c r="L22" s="10"/>
      <c r="M22" s="10"/>
      <c r="N22" s="10"/>
    </row>
    <row r="23" spans="1:14" ht="21" x14ac:dyDescent="0.3">
      <c r="A23" s="3"/>
      <c r="B23" s="64" t="s">
        <v>475</v>
      </c>
      <c r="C23" s="442" t="s">
        <v>11</v>
      </c>
      <c r="D23" s="370"/>
      <c r="E23" s="371"/>
      <c r="F23" s="66"/>
      <c r="G23" s="10"/>
      <c r="H23" s="10"/>
      <c r="I23" s="10"/>
      <c r="J23" s="10"/>
      <c r="K23" s="10"/>
      <c r="L23" s="10"/>
      <c r="M23" s="10"/>
      <c r="N23" s="10"/>
    </row>
    <row r="24" spans="1:14" ht="21" x14ac:dyDescent="0.3">
      <c r="A24" s="3"/>
      <c r="B24" s="67" t="s">
        <v>476</v>
      </c>
      <c r="C24" s="401" t="s">
        <v>15</v>
      </c>
      <c r="D24" s="401"/>
      <c r="E24" s="401"/>
      <c r="F24" s="66"/>
      <c r="G24" s="10"/>
      <c r="H24" s="10"/>
      <c r="I24" s="10"/>
      <c r="J24" s="10"/>
      <c r="K24" s="10"/>
      <c r="L24" s="10"/>
      <c r="M24" s="10"/>
      <c r="N24" s="10"/>
    </row>
    <row r="25" spans="1:14" ht="21" x14ac:dyDescent="0.3">
      <c r="A25" s="3"/>
      <c r="B25" s="66" t="s">
        <v>347</v>
      </c>
      <c r="C25" s="66"/>
      <c r="D25" s="66"/>
      <c r="E25" s="66"/>
      <c r="F25" s="66"/>
      <c r="G25" s="10"/>
      <c r="H25" s="10"/>
      <c r="I25" s="10"/>
      <c r="J25" s="10"/>
      <c r="K25" s="10"/>
      <c r="L25" s="10"/>
      <c r="M25" s="10"/>
      <c r="N25" s="10"/>
    </row>
    <row r="26" spans="1:14" ht="21" x14ac:dyDescent="0.3">
      <c r="A26" s="3"/>
      <c r="B26" s="445"/>
      <c r="C26" s="445"/>
      <c r="D26" s="445"/>
      <c r="E26" s="445"/>
      <c r="F26" s="66"/>
      <c r="G26" s="10"/>
      <c r="H26" s="10"/>
      <c r="I26" s="10"/>
      <c r="J26" s="10"/>
      <c r="K26" s="10"/>
      <c r="L26" s="10"/>
      <c r="M26" s="10"/>
      <c r="N26" s="10"/>
    </row>
    <row r="27" spans="1:14" ht="21" x14ac:dyDescent="0.3">
      <c r="A27" s="3">
        <v>6</v>
      </c>
      <c r="B27" s="261" t="s">
        <v>74</v>
      </c>
      <c r="C27" s="262"/>
      <c r="D27" s="262"/>
      <c r="E27" s="263"/>
      <c r="F27" s="2"/>
      <c r="G27" s="2"/>
      <c r="H27" s="10"/>
      <c r="I27" s="2"/>
      <c r="J27" s="2"/>
      <c r="K27" s="1"/>
      <c r="L27" s="1"/>
      <c r="M27" s="1"/>
      <c r="N27" s="1"/>
    </row>
    <row r="28" spans="1:14" ht="21" x14ac:dyDescent="0.3">
      <c r="A28" s="3"/>
      <c r="B28" s="264" t="s">
        <v>17</v>
      </c>
      <c r="C28" s="265"/>
      <c r="D28" s="265"/>
      <c r="E28" s="266"/>
      <c r="F28" s="66"/>
      <c r="G28" s="1"/>
      <c r="H28" s="1"/>
      <c r="I28" s="1"/>
      <c r="J28" s="1"/>
      <c r="K28" s="1"/>
      <c r="L28" s="1"/>
      <c r="M28" s="1"/>
      <c r="N28" s="1"/>
    </row>
    <row r="29" spans="1:14" ht="21" x14ac:dyDescent="0.3">
      <c r="A29" s="3"/>
      <c r="B29" s="67" t="s">
        <v>18</v>
      </c>
      <c r="C29" s="25" t="s">
        <v>477</v>
      </c>
      <c r="D29" s="25" t="s">
        <v>478</v>
      </c>
      <c r="E29" s="25" t="s">
        <v>479</v>
      </c>
      <c r="F29" s="66"/>
      <c r="G29" s="1"/>
      <c r="H29" s="1"/>
      <c r="I29" s="1"/>
      <c r="J29" s="1"/>
      <c r="K29" s="1"/>
      <c r="L29" s="1"/>
      <c r="M29" s="1"/>
      <c r="N29" s="1"/>
    </row>
    <row r="30" spans="1:14" ht="21" x14ac:dyDescent="0.3">
      <c r="A30" s="3"/>
      <c r="B30" s="68" t="s">
        <v>21</v>
      </c>
      <c r="C30" s="27">
        <v>467.12</v>
      </c>
      <c r="D30" s="27">
        <v>404.45</v>
      </c>
      <c r="E30" s="267" t="s">
        <v>22</v>
      </c>
      <c r="F30" s="66"/>
      <c r="G30" s="1"/>
      <c r="H30" s="1"/>
      <c r="I30" s="1"/>
      <c r="J30" s="1"/>
      <c r="K30" s="1"/>
      <c r="L30" s="1"/>
      <c r="M30" s="1"/>
      <c r="N30" s="1"/>
    </row>
    <row r="31" spans="1:14" ht="21" x14ac:dyDescent="0.3">
      <c r="A31" s="3"/>
      <c r="B31" s="68" t="s">
        <v>23</v>
      </c>
      <c r="C31" s="27">
        <v>27.89</v>
      </c>
      <c r="D31" s="27">
        <v>21.78</v>
      </c>
      <c r="E31" s="268"/>
      <c r="F31" s="66"/>
      <c r="G31" s="1"/>
      <c r="H31" s="1"/>
      <c r="I31" s="1"/>
      <c r="J31" s="1"/>
      <c r="K31" s="1"/>
      <c r="L31" s="1"/>
      <c r="M31" s="1"/>
      <c r="N31" s="1"/>
    </row>
    <row r="32" spans="1:14" ht="21" x14ac:dyDescent="0.3">
      <c r="A32" s="3"/>
      <c r="B32" s="68" t="s">
        <v>24</v>
      </c>
      <c r="C32" s="27">
        <v>371.95</v>
      </c>
      <c r="D32" s="27">
        <v>371.95</v>
      </c>
      <c r="E32" s="268"/>
      <c r="F32" s="66"/>
      <c r="G32" s="1"/>
      <c r="H32" s="194"/>
      <c r="I32" s="1"/>
      <c r="J32" s="1"/>
      <c r="K32" s="1"/>
      <c r="L32" s="1"/>
      <c r="M32" s="1"/>
      <c r="N32" s="1"/>
    </row>
    <row r="33" spans="1:14" ht="21" x14ac:dyDescent="0.3">
      <c r="A33" s="3"/>
      <c r="B33" s="68" t="s">
        <v>25</v>
      </c>
      <c r="C33" s="27">
        <v>554.52</v>
      </c>
      <c r="D33" s="27">
        <v>581.29</v>
      </c>
      <c r="E33" s="269"/>
      <c r="F33" s="66"/>
      <c r="G33" s="1"/>
      <c r="H33" s="1"/>
      <c r="I33" s="1"/>
      <c r="J33" s="1"/>
      <c r="K33" s="1"/>
      <c r="L33" s="1"/>
      <c r="M33" s="1"/>
      <c r="N33" s="1"/>
    </row>
    <row r="34" spans="1:14" ht="21" x14ac:dyDescent="0.3">
      <c r="A34" s="3"/>
      <c r="B34" s="253" t="s">
        <v>193</v>
      </c>
      <c r="C34" s="270"/>
      <c r="D34" s="270"/>
      <c r="E34" s="254"/>
      <c r="F34" s="66"/>
      <c r="G34" s="1"/>
      <c r="H34" s="1"/>
      <c r="I34" s="1"/>
      <c r="J34" s="1"/>
      <c r="K34" s="1"/>
      <c r="L34" s="1"/>
      <c r="M34" s="1"/>
      <c r="N34" s="1"/>
    </row>
    <row r="35" spans="1:14" ht="21" x14ac:dyDescent="0.3">
      <c r="A35" s="3"/>
      <c r="B35" s="10"/>
      <c r="C35" s="66"/>
      <c r="D35" s="66"/>
      <c r="E35" s="66"/>
      <c r="F35" s="66"/>
      <c r="G35" s="1"/>
      <c r="H35" s="1"/>
      <c r="I35" s="1"/>
      <c r="J35" s="1"/>
      <c r="K35" s="1"/>
      <c r="L35" s="1"/>
      <c r="M35" s="1"/>
      <c r="N35" s="1"/>
    </row>
    <row r="36" spans="1:14" ht="21" x14ac:dyDescent="0.3">
      <c r="A36" s="3">
        <v>7</v>
      </c>
      <c r="B36" s="261" t="s">
        <v>26</v>
      </c>
      <c r="C36" s="262"/>
      <c r="D36" s="262"/>
      <c r="E36" s="263"/>
      <c r="F36" s="2"/>
      <c r="G36" s="2"/>
      <c r="H36" s="2"/>
      <c r="I36" s="2"/>
      <c r="J36" s="2"/>
      <c r="K36" s="1"/>
      <c r="L36" s="1"/>
      <c r="M36" s="1"/>
      <c r="N36" s="1"/>
    </row>
    <row r="37" spans="1:14" ht="21" x14ac:dyDescent="0.3">
      <c r="A37" s="3"/>
      <c r="B37" s="67" t="s">
        <v>247</v>
      </c>
      <c r="C37" s="27" t="s">
        <v>93</v>
      </c>
      <c r="D37" s="5"/>
      <c r="E37" s="5"/>
      <c r="F37" s="10"/>
      <c r="G37" s="1"/>
      <c r="H37" s="1"/>
      <c r="I37" s="1"/>
      <c r="J37" s="1"/>
      <c r="K37" s="1"/>
      <c r="L37" s="1"/>
      <c r="M37" s="1"/>
      <c r="N37" s="1"/>
    </row>
    <row r="38" spans="1:14" ht="21" x14ac:dyDescent="0.3">
      <c r="A38" s="3"/>
      <c r="B38" s="67" t="s">
        <v>28</v>
      </c>
      <c r="C38" s="27" t="s">
        <v>93</v>
      </c>
      <c r="D38" s="68"/>
      <c r="E38" s="68"/>
      <c r="F38" s="10"/>
      <c r="G38" s="1"/>
      <c r="H38" s="1"/>
      <c r="I38" s="1"/>
      <c r="J38" s="1"/>
      <c r="K38" s="1"/>
      <c r="L38" s="1"/>
      <c r="M38" s="1"/>
      <c r="N38" s="1"/>
    </row>
    <row r="39" spans="1:14" ht="21" x14ac:dyDescent="0.3">
      <c r="A39" s="3"/>
      <c r="B39" s="67" t="s">
        <v>29</v>
      </c>
      <c r="C39" s="27" t="s">
        <v>15</v>
      </c>
      <c r="D39" s="68"/>
      <c r="E39" s="68"/>
      <c r="F39" s="10"/>
      <c r="G39" s="1"/>
      <c r="H39" s="1"/>
      <c r="I39" s="1"/>
      <c r="J39" s="1"/>
      <c r="K39" s="1"/>
      <c r="L39" s="1"/>
      <c r="M39" s="1"/>
      <c r="N39" s="1"/>
    </row>
    <row r="40" spans="1:14" ht="21" x14ac:dyDescent="0.3">
      <c r="A40" s="3"/>
      <c r="B40" s="271" t="s">
        <v>436</v>
      </c>
      <c r="C40" s="271"/>
      <c r="D40" s="271"/>
      <c r="E40" s="10"/>
      <c r="F40" s="10"/>
      <c r="G40" s="1"/>
      <c r="H40" s="1"/>
      <c r="I40" s="1"/>
      <c r="J40" s="1"/>
      <c r="K40" s="1"/>
      <c r="L40" s="1"/>
      <c r="M40" s="1"/>
      <c r="N40" s="1"/>
    </row>
    <row r="41" spans="1:14" ht="21" x14ac:dyDescent="0.3">
      <c r="A41" s="3"/>
      <c r="B41" s="66"/>
      <c r="C41" s="10"/>
      <c r="D41" s="10"/>
      <c r="E41" s="10"/>
      <c r="F41" s="10"/>
      <c r="G41" s="1"/>
      <c r="H41" s="1"/>
      <c r="I41" s="1"/>
      <c r="J41" s="1"/>
      <c r="K41" s="1"/>
      <c r="L41" s="1"/>
      <c r="M41" s="1"/>
      <c r="N41" s="1"/>
    </row>
    <row r="42" spans="1:14" ht="21" x14ac:dyDescent="0.3">
      <c r="A42" s="3">
        <v>8</v>
      </c>
      <c r="B42" s="261" t="s">
        <v>30</v>
      </c>
      <c r="C42" s="262"/>
      <c r="D42" s="262"/>
      <c r="E42" s="263"/>
      <c r="F42" s="2"/>
      <c r="G42" s="2"/>
      <c r="H42" s="2"/>
      <c r="I42" s="2"/>
      <c r="J42" s="2"/>
      <c r="K42" s="1"/>
      <c r="L42" s="1"/>
      <c r="M42" s="1"/>
      <c r="N42" s="1"/>
    </row>
    <row r="43" spans="1:14" ht="21" x14ac:dyDescent="0.3">
      <c r="A43" s="3"/>
      <c r="B43" s="67" t="s">
        <v>31</v>
      </c>
      <c r="C43" s="258" t="s">
        <v>85</v>
      </c>
      <c r="D43" s="259"/>
      <c r="E43" s="260"/>
      <c r="F43" s="10"/>
      <c r="G43" s="1"/>
      <c r="H43" s="1"/>
      <c r="I43" s="1"/>
      <c r="J43" s="1"/>
      <c r="K43" s="1"/>
      <c r="L43" s="1"/>
      <c r="M43" s="1"/>
      <c r="N43" s="1"/>
    </row>
    <row r="44" spans="1:14" ht="21" x14ac:dyDescent="0.3">
      <c r="A44" s="3"/>
      <c r="B44" s="67" t="s">
        <v>28</v>
      </c>
      <c r="C44" s="258" t="s">
        <v>966</v>
      </c>
      <c r="D44" s="259"/>
      <c r="E44" s="260"/>
      <c r="F44" s="10"/>
      <c r="G44" s="1"/>
      <c r="H44" s="1"/>
      <c r="I44" s="1"/>
      <c r="J44" s="1"/>
      <c r="K44" s="1"/>
      <c r="L44" s="1"/>
      <c r="M44" s="1"/>
      <c r="N44" s="1"/>
    </row>
    <row r="45" spans="1:14" ht="21" x14ac:dyDescent="0.3">
      <c r="A45" s="3"/>
      <c r="B45" s="67" t="s">
        <v>29</v>
      </c>
      <c r="C45" s="258" t="s">
        <v>15</v>
      </c>
      <c r="D45" s="259"/>
      <c r="E45" s="260"/>
      <c r="F45" s="10"/>
      <c r="G45" s="1"/>
      <c r="H45" s="1"/>
      <c r="I45" s="1"/>
      <c r="J45" s="1"/>
      <c r="K45" s="1"/>
      <c r="L45" s="1"/>
      <c r="M45" s="1"/>
      <c r="N45" s="1"/>
    </row>
    <row r="46" spans="1:14" ht="21" x14ac:dyDescent="0.3">
      <c r="A46" s="3"/>
      <c r="B46" s="253" t="s">
        <v>192</v>
      </c>
      <c r="C46" s="270"/>
      <c r="D46" s="270"/>
      <c r="E46" s="254"/>
      <c r="F46" s="10"/>
      <c r="G46" s="1"/>
      <c r="H46" s="1"/>
      <c r="I46" s="1"/>
      <c r="J46" s="1"/>
      <c r="K46" s="1"/>
      <c r="L46" s="1"/>
      <c r="M46" s="1"/>
      <c r="N46" s="1"/>
    </row>
    <row r="47" spans="1:14" ht="21" x14ac:dyDescent="0.3">
      <c r="A47" s="3"/>
      <c r="B47" s="1"/>
      <c r="C47" s="1"/>
      <c r="D47" s="22"/>
      <c r="E47" s="10"/>
      <c r="F47" s="1"/>
      <c r="G47" s="1"/>
      <c r="H47" s="1"/>
      <c r="I47" s="1"/>
      <c r="J47" s="1"/>
      <c r="K47" s="1"/>
      <c r="L47" s="1"/>
      <c r="M47" s="1"/>
      <c r="N47" s="1"/>
    </row>
    <row r="48" spans="1:14" ht="21" x14ac:dyDescent="0.3">
      <c r="A48" s="191">
        <v>9</v>
      </c>
      <c r="B48" s="262" t="s">
        <v>32</v>
      </c>
      <c r="C48" s="262"/>
      <c r="D48" s="262"/>
      <c r="E48" s="263"/>
      <c r="F48" s="2"/>
      <c r="G48" s="2"/>
      <c r="H48" s="2"/>
      <c r="I48" s="2"/>
      <c r="J48" s="1"/>
      <c r="K48" s="1"/>
      <c r="L48" s="1"/>
      <c r="M48" s="1"/>
      <c r="N48" s="1"/>
    </row>
    <row r="49" spans="1:14" ht="81.599999999999994" x14ac:dyDescent="0.3">
      <c r="A49" s="191"/>
      <c r="B49" s="24" t="s">
        <v>33</v>
      </c>
      <c r="C49" s="25" t="s">
        <v>34</v>
      </c>
      <c r="D49" s="25" t="s">
        <v>524</v>
      </c>
      <c r="E49" s="25" t="s">
        <v>35</v>
      </c>
      <c r="F49" s="1"/>
      <c r="G49" s="1"/>
      <c r="H49" s="1"/>
      <c r="I49" s="1"/>
      <c r="J49" s="1"/>
      <c r="K49" s="1"/>
      <c r="L49" s="1"/>
      <c r="M49" s="1"/>
      <c r="N49" s="1"/>
    </row>
    <row r="50" spans="1:14" ht="126" x14ac:dyDescent="0.3">
      <c r="A50" s="191"/>
      <c r="B50" s="189" t="s">
        <v>437</v>
      </c>
      <c r="C50" s="27" t="s">
        <v>438</v>
      </c>
      <c r="D50" s="27" t="s">
        <v>816</v>
      </c>
      <c r="E50" s="27" t="s">
        <v>121</v>
      </c>
      <c r="F50" s="1"/>
      <c r="G50" s="1"/>
      <c r="H50" s="1"/>
      <c r="I50" s="1"/>
      <c r="J50" s="1"/>
      <c r="K50" s="1"/>
      <c r="L50" s="1"/>
      <c r="M50" s="1"/>
      <c r="N50" s="1"/>
    </row>
    <row r="51" spans="1:14" ht="21" x14ac:dyDescent="0.3">
      <c r="A51" s="191"/>
      <c r="B51" s="254" t="s">
        <v>815</v>
      </c>
      <c r="C51" s="403"/>
      <c r="D51" s="403"/>
      <c r="E51" s="403"/>
      <c r="F51" s="1"/>
      <c r="G51" s="1"/>
      <c r="H51" s="1"/>
      <c r="I51" s="1"/>
      <c r="J51" s="1"/>
      <c r="K51" s="1"/>
      <c r="L51" s="1"/>
      <c r="M51" s="1"/>
      <c r="N51" s="1"/>
    </row>
    <row r="52" spans="1:14" ht="21" x14ac:dyDescent="0.3">
      <c r="A52" s="191"/>
      <c r="B52" s="160" t="s">
        <v>565</v>
      </c>
      <c r="C52" s="87"/>
      <c r="D52" s="87"/>
      <c r="E52" s="87"/>
      <c r="F52" s="1"/>
      <c r="G52" s="1"/>
      <c r="H52" s="1"/>
      <c r="I52" s="1"/>
      <c r="J52" s="1"/>
      <c r="K52" s="1"/>
      <c r="L52" s="1"/>
      <c r="M52" s="1"/>
      <c r="N52" s="1"/>
    </row>
    <row r="53" spans="1:14" ht="21" x14ac:dyDescent="0.3">
      <c r="A53" s="191"/>
      <c r="B53" s="28"/>
      <c r="C53" s="22"/>
      <c r="D53" s="22"/>
      <c r="E53" s="22"/>
      <c r="F53" s="66"/>
      <c r="G53" s="66"/>
      <c r="H53" s="66"/>
      <c r="I53" s="66"/>
      <c r="J53" s="1"/>
      <c r="K53" s="1"/>
      <c r="L53" s="1"/>
      <c r="M53" s="1"/>
      <c r="N53" s="1"/>
    </row>
    <row r="54" spans="1:14" ht="21" x14ac:dyDescent="0.3">
      <c r="A54" s="191">
        <v>10</v>
      </c>
      <c r="B54" s="262" t="s">
        <v>32</v>
      </c>
      <c r="C54" s="262"/>
      <c r="D54" s="262"/>
      <c r="E54" s="263"/>
      <c r="F54" s="66"/>
      <c r="G54" s="66"/>
      <c r="H54" s="66"/>
      <c r="I54" s="1"/>
      <c r="J54" s="1"/>
      <c r="K54" s="1"/>
      <c r="L54" s="1"/>
      <c r="M54" s="1"/>
      <c r="N54" s="1"/>
    </row>
    <row r="55" spans="1:14" ht="21" x14ac:dyDescent="0.3">
      <c r="A55" s="191"/>
      <c r="B55" s="275" t="s">
        <v>36</v>
      </c>
      <c r="C55" s="277" t="s">
        <v>967</v>
      </c>
      <c r="D55" s="278"/>
      <c r="E55" s="279"/>
      <c r="F55" s="1"/>
      <c r="G55" s="1"/>
      <c r="H55" s="1"/>
      <c r="I55" s="1"/>
      <c r="J55" s="1"/>
      <c r="K55" s="2"/>
      <c r="L55" s="1"/>
      <c r="M55" s="1"/>
      <c r="N55" s="1"/>
    </row>
    <row r="56" spans="1:14" ht="21" x14ac:dyDescent="0.3">
      <c r="A56" s="191"/>
      <c r="B56" s="276"/>
      <c r="C56" s="280"/>
      <c r="D56" s="281"/>
      <c r="E56" s="282"/>
      <c r="F56" s="1"/>
      <c r="G56" s="1"/>
      <c r="H56" s="1"/>
      <c r="I56" s="1"/>
      <c r="J56" s="1"/>
      <c r="K56" s="2"/>
      <c r="L56" s="1"/>
      <c r="M56" s="1"/>
      <c r="N56" s="1"/>
    </row>
    <row r="57" spans="1:14" ht="21" x14ac:dyDescent="0.3">
      <c r="A57" s="191"/>
      <c r="B57" s="29" t="s">
        <v>37</v>
      </c>
      <c r="C57" s="283" t="s">
        <v>817</v>
      </c>
      <c r="D57" s="284"/>
      <c r="E57" s="285"/>
      <c r="F57" s="1"/>
      <c r="G57" s="1"/>
      <c r="H57" s="1"/>
      <c r="I57" s="1"/>
      <c r="J57" s="1"/>
      <c r="K57" s="1"/>
      <c r="L57" s="1"/>
      <c r="M57" s="1"/>
      <c r="N57" s="1"/>
    </row>
    <row r="58" spans="1:14" ht="21" x14ac:dyDescent="0.3">
      <c r="A58" s="191"/>
      <c r="B58" s="29" t="s">
        <v>38</v>
      </c>
      <c r="C58" s="286" t="s">
        <v>121</v>
      </c>
      <c r="D58" s="287"/>
      <c r="E58" s="288"/>
      <c r="F58" s="1"/>
      <c r="G58" s="1"/>
      <c r="H58" s="1"/>
      <c r="I58" s="1"/>
      <c r="J58" s="1"/>
      <c r="K58" s="30"/>
      <c r="L58" s="1"/>
      <c r="M58" s="1"/>
      <c r="N58" s="1"/>
    </row>
    <row r="59" spans="1:14" ht="21" x14ac:dyDescent="0.3">
      <c r="A59" s="191"/>
      <c r="B59" s="308"/>
      <c r="C59" s="308"/>
      <c r="D59" s="308"/>
      <c r="E59" s="249"/>
      <c r="F59" s="1"/>
      <c r="G59" s="1"/>
      <c r="H59" s="1"/>
      <c r="I59" s="1"/>
      <c r="J59" s="1"/>
      <c r="K59" s="30"/>
      <c r="L59" s="1"/>
      <c r="M59" s="1"/>
      <c r="N59" s="1"/>
    </row>
    <row r="60" spans="1:14" ht="21" x14ac:dyDescent="0.4">
      <c r="A60" s="111" t="s">
        <v>39</v>
      </c>
      <c r="B60" s="290" t="s">
        <v>814</v>
      </c>
      <c r="C60" s="290"/>
      <c r="D60" s="290"/>
      <c r="E60" s="291"/>
      <c r="F60" s="32"/>
      <c r="G60" s="32"/>
      <c r="H60" s="32"/>
      <c r="I60" s="32"/>
      <c r="J60" s="32"/>
      <c r="K60" s="32"/>
      <c r="L60" s="32"/>
      <c r="M60" s="32"/>
      <c r="N60" s="32"/>
    </row>
    <row r="61" spans="1:14" ht="21" x14ac:dyDescent="0.3">
      <c r="A61" s="191"/>
      <c r="B61" s="73"/>
      <c r="C61" s="73"/>
      <c r="D61" s="73"/>
      <c r="E61" s="73"/>
      <c r="F61" s="73"/>
      <c r="G61" s="1"/>
      <c r="H61" s="1"/>
      <c r="I61" s="1"/>
      <c r="J61" s="1"/>
      <c r="K61" s="1"/>
      <c r="L61" s="1"/>
      <c r="M61" s="1"/>
      <c r="N61" s="1"/>
    </row>
    <row r="62" spans="1:14" ht="21" x14ac:dyDescent="0.3">
      <c r="A62" s="3">
        <v>11</v>
      </c>
      <c r="B62" s="54" t="s">
        <v>41</v>
      </c>
      <c r="C62" s="270" t="s">
        <v>121</v>
      </c>
      <c r="D62" s="270"/>
      <c r="E62" s="270"/>
      <c r="F62" s="2"/>
      <c r="G62" s="2"/>
      <c r="H62" s="74"/>
      <c r="I62" s="2"/>
      <c r="J62" s="2"/>
      <c r="K62" s="1"/>
      <c r="L62" s="1"/>
      <c r="M62" s="1"/>
      <c r="N62" s="1"/>
    </row>
    <row r="63" spans="1:14" ht="21" x14ac:dyDescent="0.3">
      <c r="A63" s="3"/>
      <c r="B63" s="66"/>
      <c r="C63" s="270"/>
      <c r="D63" s="270"/>
      <c r="E63" s="270"/>
      <c r="F63" s="66"/>
      <c r="G63" s="66"/>
      <c r="H63" s="75"/>
      <c r="I63" s="75"/>
      <c r="J63" s="66"/>
      <c r="K63" s="1"/>
      <c r="L63" s="1"/>
      <c r="M63" s="1"/>
      <c r="N63" s="1"/>
    </row>
    <row r="64" spans="1:14" ht="21" x14ac:dyDescent="0.3">
      <c r="A64" s="76">
        <v>12</v>
      </c>
      <c r="B64" s="77" t="s">
        <v>42</v>
      </c>
      <c r="C64" s="272"/>
      <c r="D64" s="273"/>
      <c r="E64" s="274"/>
      <c r="F64" s="78"/>
      <c r="G64" s="79"/>
      <c r="H64" s="79"/>
      <c r="I64" s="79"/>
      <c r="J64" s="79"/>
      <c r="K64" s="79"/>
      <c r="L64" s="79"/>
      <c r="M64" s="79"/>
      <c r="N64" s="79"/>
    </row>
    <row r="65" spans="1:14" ht="20.399999999999999" x14ac:dyDescent="0.3">
      <c r="A65" s="3"/>
      <c r="B65" s="2"/>
      <c r="C65" s="2"/>
      <c r="D65" s="2"/>
      <c r="E65" s="74"/>
      <c r="F65" s="74"/>
      <c r="G65" s="74"/>
      <c r="H65" s="2"/>
      <c r="I65" s="2"/>
      <c r="J65" s="2"/>
      <c r="K65" s="2"/>
      <c r="L65" s="2"/>
      <c r="M65" s="2"/>
      <c r="N65" s="2"/>
    </row>
    <row r="66" spans="1:14" ht="21" x14ac:dyDescent="0.3">
      <c r="A66" s="3"/>
      <c r="B66" s="67" t="s">
        <v>43</v>
      </c>
      <c r="C66" s="68" t="s">
        <v>265</v>
      </c>
      <c r="D66" s="66"/>
      <c r="E66" s="66"/>
      <c r="F66" s="75"/>
      <c r="G66" s="75"/>
      <c r="H66" s="66"/>
      <c r="I66" s="66"/>
      <c r="J66" s="66"/>
      <c r="K66" s="66"/>
      <c r="L66" s="66"/>
      <c r="M66" s="66"/>
      <c r="N66" s="66"/>
    </row>
    <row r="67" spans="1:14" ht="20.399999999999999" x14ac:dyDescent="0.3">
      <c r="A67" s="3"/>
      <c r="B67" s="66"/>
      <c r="C67" s="66"/>
      <c r="D67" s="66"/>
      <c r="E67" s="66"/>
      <c r="F67" s="66"/>
      <c r="G67" s="66"/>
      <c r="H67" s="66"/>
      <c r="I67" s="66"/>
      <c r="J67" s="66"/>
      <c r="K67" s="66"/>
      <c r="L67" s="66"/>
      <c r="M67" s="66"/>
      <c r="N67" s="66"/>
    </row>
    <row r="68" spans="1:14" ht="103.8" customHeight="1" x14ac:dyDescent="0.3">
      <c r="A68" s="3"/>
      <c r="B68" s="295" t="s">
        <v>44</v>
      </c>
      <c r="C68" s="295" t="s">
        <v>429</v>
      </c>
      <c r="D68" s="295" t="s">
        <v>68</v>
      </c>
      <c r="E68" s="297" t="s">
        <v>45</v>
      </c>
      <c r="F68" s="292" t="s">
        <v>480</v>
      </c>
      <c r="G68" s="293"/>
      <c r="H68" s="294"/>
      <c r="I68" s="292" t="s">
        <v>481</v>
      </c>
      <c r="J68" s="293"/>
      <c r="K68" s="294"/>
      <c r="L68" s="292" t="s">
        <v>482</v>
      </c>
      <c r="M68" s="293"/>
      <c r="N68" s="294"/>
    </row>
    <row r="69" spans="1:14" ht="102" x14ac:dyDescent="0.3">
      <c r="A69" s="3"/>
      <c r="B69" s="296"/>
      <c r="C69" s="296"/>
      <c r="D69" s="296"/>
      <c r="E69" s="298"/>
      <c r="F69" s="67" t="s">
        <v>46</v>
      </c>
      <c r="G69" s="67" t="s">
        <v>47</v>
      </c>
      <c r="H69" s="67" t="s">
        <v>48</v>
      </c>
      <c r="I69" s="67" t="s">
        <v>49</v>
      </c>
      <c r="J69" s="67" t="s">
        <v>47</v>
      </c>
      <c r="K69" s="67" t="s">
        <v>48</v>
      </c>
      <c r="L69" s="67" t="s">
        <v>49</v>
      </c>
      <c r="M69" s="67" t="s">
        <v>47</v>
      </c>
      <c r="N69" s="67" t="s">
        <v>48</v>
      </c>
    </row>
    <row r="70" spans="1:14" ht="21" x14ac:dyDescent="0.3">
      <c r="A70" s="3"/>
      <c r="B70" s="67" t="s">
        <v>112</v>
      </c>
      <c r="C70" s="82">
        <v>44.1</v>
      </c>
      <c r="D70" s="82">
        <v>35.479999999999997</v>
      </c>
      <c r="E70" s="82">
        <v>73.5</v>
      </c>
      <c r="F70" s="121">
        <v>18.899999999999999</v>
      </c>
      <c r="G70" s="121">
        <v>90</v>
      </c>
      <c r="H70" s="121">
        <v>17.14</v>
      </c>
      <c r="I70" s="121">
        <v>13.55</v>
      </c>
      <c r="J70" s="121">
        <v>28.35</v>
      </c>
      <c r="K70" s="121">
        <v>12.88</v>
      </c>
      <c r="L70" s="345" t="s">
        <v>108</v>
      </c>
      <c r="M70" s="346"/>
      <c r="N70" s="347"/>
    </row>
    <row r="71" spans="1:14" ht="40.799999999999997" x14ac:dyDescent="0.3">
      <c r="A71" s="3"/>
      <c r="B71" s="69" t="s">
        <v>113</v>
      </c>
      <c r="C71" s="82">
        <v>73876.820000000007</v>
      </c>
      <c r="D71" s="82">
        <v>74611.11</v>
      </c>
      <c r="E71" s="82">
        <v>79476.19</v>
      </c>
      <c r="F71" s="51">
        <v>77414.92</v>
      </c>
      <c r="G71" s="51">
        <v>85978.25</v>
      </c>
      <c r="H71" s="51">
        <v>70234.429999999993</v>
      </c>
      <c r="I71" s="121">
        <v>71947.55</v>
      </c>
      <c r="J71" s="121">
        <v>86159.02</v>
      </c>
      <c r="K71" s="121">
        <v>71425.009999999995</v>
      </c>
      <c r="L71" s="348"/>
      <c r="M71" s="349"/>
      <c r="N71" s="350"/>
    </row>
    <row r="72" spans="1:14" ht="21" x14ac:dyDescent="0.3">
      <c r="A72" s="3"/>
      <c r="B72" s="253" t="s">
        <v>344</v>
      </c>
      <c r="C72" s="270"/>
      <c r="D72" s="270"/>
      <c r="E72" s="270"/>
      <c r="F72" s="270"/>
      <c r="G72" s="270"/>
      <c r="H72" s="270"/>
      <c r="I72" s="270"/>
      <c r="J72" s="270"/>
      <c r="K72" s="270"/>
      <c r="L72" s="270"/>
      <c r="M72" s="270"/>
      <c r="N72" s="254"/>
    </row>
    <row r="73" spans="1:14" ht="21" x14ac:dyDescent="0.3">
      <c r="A73" s="3"/>
      <c r="B73" s="253" t="s">
        <v>345</v>
      </c>
      <c r="C73" s="270"/>
      <c r="D73" s="270"/>
      <c r="E73" s="270"/>
      <c r="F73" s="254"/>
      <c r="G73" s="83"/>
      <c r="H73" s="83"/>
      <c r="I73" s="83"/>
      <c r="J73" s="83"/>
      <c r="K73" s="83"/>
      <c r="L73" s="83"/>
      <c r="M73" s="83"/>
      <c r="N73" s="83"/>
    </row>
    <row r="74" spans="1:14" ht="21" x14ac:dyDescent="0.3">
      <c r="A74" s="3"/>
      <c r="B74" s="253" t="s">
        <v>70</v>
      </c>
      <c r="C74" s="270"/>
      <c r="D74" s="270"/>
      <c r="E74" s="270"/>
      <c r="F74" s="254"/>
      <c r="G74" s="83"/>
      <c r="H74" s="83"/>
      <c r="I74" s="83"/>
      <c r="J74" s="83"/>
      <c r="K74" s="83"/>
      <c r="L74" s="83"/>
      <c r="M74" s="83"/>
      <c r="N74" s="83"/>
    </row>
    <row r="75" spans="1:14" ht="21" x14ac:dyDescent="0.3">
      <c r="A75" s="3"/>
      <c r="B75" s="253" t="s">
        <v>71</v>
      </c>
      <c r="C75" s="270"/>
      <c r="D75" s="270"/>
      <c r="E75" s="270"/>
      <c r="F75" s="254"/>
      <c r="G75" s="83"/>
      <c r="H75" s="83"/>
      <c r="I75" s="83"/>
      <c r="J75" s="83"/>
      <c r="K75" s="83"/>
      <c r="L75" s="83"/>
      <c r="M75" s="83"/>
      <c r="N75" s="83"/>
    </row>
    <row r="76" spans="1:14" ht="21" x14ac:dyDescent="0.3">
      <c r="A76" s="3"/>
      <c r="B76" s="403" t="s">
        <v>963</v>
      </c>
      <c r="C76" s="403"/>
      <c r="D76" s="403"/>
      <c r="E76" s="403"/>
      <c r="F76" s="403"/>
      <c r="G76" s="10"/>
      <c r="H76" s="10"/>
      <c r="I76" s="10"/>
      <c r="J76" s="10"/>
      <c r="K76" s="10"/>
      <c r="L76" s="10"/>
      <c r="M76" s="10"/>
      <c r="N76" s="10"/>
    </row>
    <row r="77" spans="1:14" ht="20.399999999999999" x14ac:dyDescent="0.3">
      <c r="A77" s="3">
        <v>13</v>
      </c>
      <c r="B77" s="261" t="s">
        <v>51</v>
      </c>
      <c r="C77" s="262"/>
      <c r="D77" s="262"/>
      <c r="E77" s="262"/>
      <c r="F77" s="262"/>
      <c r="G77" s="263"/>
      <c r="H77" s="2"/>
      <c r="I77" s="2"/>
      <c r="J77" s="2"/>
      <c r="K77" s="2"/>
      <c r="L77" s="2"/>
      <c r="M77" s="2"/>
      <c r="N77" s="2"/>
    </row>
    <row r="78" spans="1:14" ht="21" x14ac:dyDescent="0.3">
      <c r="A78" s="3"/>
      <c r="B78" s="1"/>
      <c r="C78" s="66"/>
      <c r="D78" s="66"/>
      <c r="E78" s="66"/>
      <c r="F78" s="66"/>
      <c r="G78" s="66"/>
      <c r="H78" s="66"/>
      <c r="I78" s="66"/>
      <c r="J78" s="66"/>
      <c r="K78" s="66"/>
      <c r="L78" s="66"/>
      <c r="M78" s="66"/>
      <c r="N78" s="66"/>
    </row>
    <row r="79" spans="1:14" ht="61.2" x14ac:dyDescent="0.3">
      <c r="A79" s="3"/>
      <c r="B79" s="25" t="s">
        <v>52</v>
      </c>
      <c r="C79" s="25" t="s">
        <v>53</v>
      </c>
      <c r="D79" s="25" t="s">
        <v>603</v>
      </c>
      <c r="E79" s="25" t="s">
        <v>54</v>
      </c>
      <c r="F79" s="25" t="s">
        <v>55</v>
      </c>
      <c r="G79" s="25" t="s">
        <v>56</v>
      </c>
      <c r="H79" s="10"/>
      <c r="I79" s="10"/>
      <c r="J79" s="10"/>
      <c r="K79" s="10"/>
      <c r="L79" s="10"/>
      <c r="M79" s="10"/>
      <c r="N79" s="10"/>
    </row>
    <row r="80" spans="1:14" ht="40.799999999999997" x14ac:dyDescent="0.3">
      <c r="A80" s="3"/>
      <c r="B80" s="297" t="s">
        <v>72</v>
      </c>
      <c r="C80" s="54" t="s">
        <v>443</v>
      </c>
      <c r="D80" s="134">
        <v>26.64</v>
      </c>
      <c r="E80" s="88">
        <v>1.19</v>
      </c>
      <c r="F80" s="88">
        <v>0.59</v>
      </c>
      <c r="G80" s="311" t="s">
        <v>83</v>
      </c>
      <c r="H80" s="1"/>
      <c r="I80" s="1"/>
      <c r="J80" s="1"/>
      <c r="K80" s="1"/>
      <c r="L80" s="1"/>
      <c r="M80" s="1"/>
      <c r="N80" s="1"/>
    </row>
    <row r="81" spans="1:14" ht="21" x14ac:dyDescent="0.3">
      <c r="A81" s="3"/>
      <c r="B81" s="309"/>
      <c r="C81" s="54" t="s">
        <v>237</v>
      </c>
      <c r="D81" s="135"/>
      <c r="E81" s="88"/>
      <c r="F81" s="88"/>
      <c r="G81" s="311"/>
      <c r="H81" s="1"/>
      <c r="I81" s="1"/>
      <c r="J81" s="1"/>
      <c r="K81" s="1"/>
      <c r="L81" s="1"/>
      <c r="M81" s="1"/>
      <c r="N81" s="1"/>
    </row>
    <row r="82" spans="1:14" ht="21" x14ac:dyDescent="0.3">
      <c r="A82" s="3"/>
      <c r="B82" s="309"/>
      <c r="C82" s="5" t="s">
        <v>439</v>
      </c>
      <c r="D82" s="135">
        <v>9.94</v>
      </c>
      <c r="E82" s="88">
        <v>14.99</v>
      </c>
      <c r="F82" s="88">
        <v>12.59</v>
      </c>
      <c r="G82" s="311"/>
      <c r="H82" s="1"/>
      <c r="I82" s="1"/>
      <c r="J82" s="1"/>
      <c r="K82" s="1"/>
      <c r="L82" s="1"/>
      <c r="M82" s="1"/>
      <c r="N82" s="1"/>
    </row>
    <row r="83" spans="1:14" ht="21" x14ac:dyDescent="0.3">
      <c r="A83" s="3"/>
      <c r="B83" s="309"/>
      <c r="C83" s="5" t="s">
        <v>440</v>
      </c>
      <c r="D83" s="135">
        <v>18.8</v>
      </c>
      <c r="E83" s="88">
        <v>20.91</v>
      </c>
      <c r="F83" s="88">
        <v>13.54</v>
      </c>
      <c r="G83" s="311"/>
      <c r="H83" s="1"/>
      <c r="I83" s="1"/>
      <c r="J83" s="1"/>
      <c r="K83" s="1"/>
      <c r="L83" s="1"/>
      <c r="M83" s="1"/>
      <c r="N83" s="1"/>
    </row>
    <row r="84" spans="1:14" ht="21" x14ac:dyDescent="0.3">
      <c r="A84" s="3"/>
      <c r="B84" s="309"/>
      <c r="C84" s="5" t="s">
        <v>441</v>
      </c>
      <c r="D84" s="135">
        <v>2.11</v>
      </c>
      <c r="E84" s="90">
        <v>0.3</v>
      </c>
      <c r="F84" s="88">
        <v>0.51</v>
      </c>
      <c r="G84" s="311"/>
      <c r="H84" s="1"/>
      <c r="I84" s="1"/>
      <c r="J84" s="1"/>
      <c r="K84" s="1"/>
      <c r="L84" s="1"/>
      <c r="M84" s="1"/>
      <c r="N84" s="1"/>
    </row>
    <row r="85" spans="1:14" ht="21" x14ac:dyDescent="0.3">
      <c r="A85" s="3"/>
      <c r="B85" s="298"/>
      <c r="C85" s="54" t="s">
        <v>295</v>
      </c>
      <c r="D85" s="140">
        <f>AVERAGE(D82:D84)</f>
        <v>10.283333333333333</v>
      </c>
      <c r="E85" s="140">
        <f>AVERAGE(E82:E84)</f>
        <v>12.066666666666665</v>
      </c>
      <c r="F85" s="116">
        <f>AVERAGE(F82:F84)</f>
        <v>8.8800000000000008</v>
      </c>
      <c r="G85" s="311"/>
      <c r="H85" s="1"/>
      <c r="I85" s="1"/>
      <c r="J85" s="1"/>
      <c r="K85" s="1"/>
      <c r="L85" s="1"/>
      <c r="M85" s="1"/>
      <c r="N85" s="1"/>
    </row>
    <row r="86" spans="1:14" ht="40.799999999999997" x14ac:dyDescent="0.3">
      <c r="A86" s="3"/>
      <c r="B86" s="297" t="s">
        <v>59</v>
      </c>
      <c r="C86" s="54" t="s">
        <v>443</v>
      </c>
      <c r="D86" s="141" t="s">
        <v>442</v>
      </c>
      <c r="E86" s="90">
        <f>F70/E80</f>
        <v>15.882352941176469</v>
      </c>
      <c r="F86" s="90">
        <f>I70/F80</f>
        <v>22.966101694915256</v>
      </c>
      <c r="G86" s="311"/>
      <c r="H86" s="1"/>
      <c r="I86" s="1"/>
      <c r="J86" s="1"/>
      <c r="K86" s="1"/>
      <c r="L86" s="1"/>
      <c r="M86" s="1"/>
      <c r="N86" s="1"/>
    </row>
    <row r="87" spans="1:14" ht="21" x14ac:dyDescent="0.3">
      <c r="A87" s="3"/>
      <c r="B87" s="309"/>
      <c r="C87" s="54" t="s">
        <v>237</v>
      </c>
      <c r="D87" s="135"/>
      <c r="E87" s="88"/>
      <c r="F87" s="88"/>
      <c r="G87" s="311"/>
      <c r="H87" s="1"/>
      <c r="I87" s="1"/>
      <c r="J87" s="1"/>
      <c r="K87" s="1"/>
      <c r="L87" s="1"/>
      <c r="M87" s="1"/>
      <c r="N87" s="1"/>
    </row>
    <row r="88" spans="1:14" ht="21" x14ac:dyDescent="0.3">
      <c r="A88" s="3"/>
      <c r="B88" s="309"/>
      <c r="C88" s="5" t="s">
        <v>439</v>
      </c>
      <c r="D88" s="135">
        <v>23.03</v>
      </c>
      <c r="E88" s="90">
        <f>257.8/E82</f>
        <v>17.198132088058706</v>
      </c>
      <c r="F88" s="90">
        <f>177.15/F82</f>
        <v>14.070691024622716</v>
      </c>
      <c r="G88" s="311"/>
      <c r="H88" s="1"/>
      <c r="I88" s="1"/>
      <c r="J88" s="1"/>
      <c r="K88" s="1"/>
      <c r="L88" s="1"/>
      <c r="M88" s="1"/>
      <c r="N88" s="1"/>
    </row>
    <row r="89" spans="1:14" ht="21" x14ac:dyDescent="0.3">
      <c r="A89" s="3"/>
      <c r="B89" s="309"/>
      <c r="C89" s="5" t="s">
        <v>440</v>
      </c>
      <c r="D89" s="135">
        <v>29.01</v>
      </c>
      <c r="E89" s="90">
        <f>458.45/E83</f>
        <v>21.92491630798661</v>
      </c>
      <c r="F89" s="88">
        <f>233.7/F83</f>
        <v>17.259970457902511</v>
      </c>
      <c r="G89" s="311"/>
      <c r="H89" s="1"/>
      <c r="I89" s="1"/>
      <c r="J89" s="1"/>
      <c r="K89" s="1"/>
      <c r="L89" s="1"/>
      <c r="M89" s="1"/>
      <c r="N89" s="1"/>
    </row>
    <row r="90" spans="1:14" ht="21" x14ac:dyDescent="0.3">
      <c r="A90" s="3"/>
      <c r="B90" s="309"/>
      <c r="C90" s="5" t="s">
        <v>441</v>
      </c>
      <c r="D90" s="135">
        <v>14.1</v>
      </c>
      <c r="E90" s="90">
        <f>8.85/E84</f>
        <v>29.5</v>
      </c>
      <c r="F90" s="90">
        <f>5.88/F84</f>
        <v>11.529411764705882</v>
      </c>
      <c r="G90" s="311"/>
      <c r="H90" s="1"/>
      <c r="I90" s="1"/>
      <c r="J90" s="1"/>
      <c r="K90" s="1"/>
      <c r="L90" s="1"/>
      <c r="M90" s="1"/>
      <c r="N90" s="1"/>
    </row>
    <row r="91" spans="1:14" ht="21" x14ac:dyDescent="0.3">
      <c r="A91" s="3"/>
      <c r="B91" s="298"/>
      <c r="C91" s="54" t="s">
        <v>295</v>
      </c>
      <c r="D91" s="140">
        <f>AVERAGE(D88:D90)</f>
        <v>22.046666666666667</v>
      </c>
      <c r="E91" s="140">
        <f>AVERAGE(E88:E90)</f>
        <v>22.874349465348441</v>
      </c>
      <c r="F91" s="157">
        <f>AVERAGE(F88:F90)</f>
        <v>14.286691082410371</v>
      </c>
      <c r="G91" s="311"/>
      <c r="H91" s="1"/>
      <c r="I91" s="1"/>
      <c r="J91" s="1"/>
      <c r="K91" s="1"/>
      <c r="L91" s="1"/>
      <c r="M91" s="1"/>
      <c r="N91" s="1"/>
    </row>
    <row r="92" spans="1:14" ht="40.799999999999997" x14ac:dyDescent="0.3">
      <c r="A92" s="3"/>
      <c r="B92" s="297" t="s">
        <v>60</v>
      </c>
      <c r="C92" s="54" t="s">
        <v>443</v>
      </c>
      <c r="D92" s="142">
        <v>0.1401</v>
      </c>
      <c r="E92" s="110">
        <v>3.0099999999999998E-2</v>
      </c>
      <c r="F92" s="110">
        <v>2.2800000000000001E-2</v>
      </c>
      <c r="G92" s="311"/>
      <c r="H92" s="1"/>
      <c r="I92" s="1"/>
      <c r="J92" s="1"/>
      <c r="K92" s="1"/>
      <c r="L92" s="1"/>
      <c r="M92" s="1"/>
      <c r="N92" s="1"/>
    </row>
    <row r="93" spans="1:14" ht="21" x14ac:dyDescent="0.3">
      <c r="A93" s="3"/>
      <c r="B93" s="309"/>
      <c r="C93" s="54" t="s">
        <v>237</v>
      </c>
      <c r="D93" s="5"/>
      <c r="E93" s="88"/>
      <c r="F93" s="88"/>
      <c r="G93" s="311"/>
      <c r="H93" s="1"/>
      <c r="I93" s="1"/>
      <c r="J93" s="1"/>
      <c r="K93" s="1"/>
      <c r="L93" s="1"/>
      <c r="M93" s="1"/>
      <c r="N93" s="1"/>
    </row>
    <row r="94" spans="1:14" ht="21" x14ac:dyDescent="0.3">
      <c r="A94" s="3"/>
      <c r="B94" s="309"/>
      <c r="C94" s="5" t="s">
        <v>439</v>
      </c>
      <c r="D94" s="126">
        <v>0.16370000000000001</v>
      </c>
      <c r="E94" s="110">
        <v>0.12659999999999999</v>
      </c>
      <c r="F94" s="110">
        <v>8.7599999999999997E-2</v>
      </c>
      <c r="G94" s="311"/>
      <c r="H94" s="1"/>
      <c r="I94" s="1"/>
      <c r="J94" s="1"/>
      <c r="K94" s="1"/>
      <c r="L94" s="1"/>
      <c r="M94" s="1"/>
      <c r="N94" s="1"/>
    </row>
    <row r="95" spans="1:14" ht="21" x14ac:dyDescent="0.3">
      <c r="A95" s="3"/>
      <c r="B95" s="309"/>
      <c r="C95" s="5" t="s">
        <v>440</v>
      </c>
      <c r="D95" s="126">
        <v>0.3972</v>
      </c>
      <c r="E95" s="110">
        <v>0.16869999999999999</v>
      </c>
      <c r="F95" s="110">
        <v>0.20730000000000001</v>
      </c>
      <c r="G95" s="311"/>
      <c r="H95" s="1"/>
      <c r="I95" s="1"/>
      <c r="J95" s="1"/>
      <c r="K95" s="1"/>
      <c r="L95" s="1"/>
      <c r="M95" s="1"/>
      <c r="N95" s="1"/>
    </row>
    <row r="96" spans="1:14" ht="21" x14ac:dyDescent="0.3">
      <c r="A96" s="3"/>
      <c r="B96" s="309"/>
      <c r="C96" s="5" t="s">
        <v>441</v>
      </c>
      <c r="D96" s="126">
        <v>0.25769999999999998</v>
      </c>
      <c r="E96" s="110">
        <v>3.3599999999999998E-2</v>
      </c>
      <c r="F96" s="110">
        <v>5.6500000000000002E-2</v>
      </c>
      <c r="G96" s="311"/>
      <c r="H96" s="1"/>
      <c r="I96" s="1"/>
      <c r="J96" s="1"/>
      <c r="K96" s="1"/>
      <c r="L96" s="1"/>
      <c r="M96" s="1"/>
      <c r="N96" s="1"/>
    </row>
    <row r="97" spans="1:14" ht="21" x14ac:dyDescent="0.3">
      <c r="A97" s="3"/>
      <c r="B97" s="298"/>
      <c r="C97" s="54" t="s">
        <v>295</v>
      </c>
      <c r="D97" s="143">
        <f>AVERAGE(D94:D96)</f>
        <v>0.27286666666666665</v>
      </c>
      <c r="E97" s="143">
        <f>AVERAGE(E94:E96)</f>
        <v>0.10963333333333335</v>
      </c>
      <c r="F97" s="131">
        <f>AVERAGE(F94:F96)</f>
        <v>0.11713333333333333</v>
      </c>
      <c r="G97" s="311"/>
      <c r="H97" s="1"/>
      <c r="I97" s="1"/>
      <c r="J97" s="1"/>
      <c r="K97" s="1"/>
      <c r="L97" s="1"/>
      <c r="M97" s="1"/>
      <c r="N97" s="1"/>
    </row>
    <row r="98" spans="1:14" ht="40.799999999999997" x14ac:dyDescent="0.3">
      <c r="A98" s="3"/>
      <c r="B98" s="310" t="s">
        <v>61</v>
      </c>
      <c r="C98" s="54" t="s">
        <v>443</v>
      </c>
      <c r="D98" s="135">
        <v>44.51</v>
      </c>
      <c r="E98" s="88">
        <v>24.91</v>
      </c>
      <c r="F98" s="88">
        <v>25.63</v>
      </c>
      <c r="G98" s="311"/>
      <c r="H98" s="1"/>
      <c r="I98" s="1"/>
      <c r="J98" s="1"/>
      <c r="K98" s="1"/>
      <c r="L98" s="1"/>
      <c r="M98" s="1"/>
      <c r="N98" s="1"/>
    </row>
    <row r="99" spans="1:14" ht="21" x14ac:dyDescent="0.3">
      <c r="A99" s="3"/>
      <c r="B99" s="310"/>
      <c r="C99" s="54" t="s">
        <v>237</v>
      </c>
      <c r="D99" s="135"/>
      <c r="E99" s="88"/>
      <c r="F99" s="88"/>
      <c r="G99" s="311"/>
      <c r="H99" s="1"/>
      <c r="I99" s="1"/>
      <c r="J99" s="1"/>
      <c r="K99" s="1"/>
      <c r="L99" s="1"/>
      <c r="M99" s="1"/>
      <c r="N99" s="1"/>
    </row>
    <row r="100" spans="1:14" ht="21" x14ac:dyDescent="0.3">
      <c r="A100" s="3"/>
      <c r="B100" s="310"/>
      <c r="C100" s="5" t="s">
        <v>439</v>
      </c>
      <c r="D100" s="135">
        <v>60.7</v>
      </c>
      <c r="E100" s="88">
        <v>113.28</v>
      </c>
      <c r="F100" s="88">
        <v>127.32</v>
      </c>
      <c r="G100" s="311"/>
      <c r="H100" s="1"/>
      <c r="I100" s="1"/>
      <c r="J100" s="1"/>
      <c r="K100" s="1"/>
      <c r="L100" s="1"/>
      <c r="M100" s="1"/>
      <c r="N100" s="1"/>
    </row>
    <row r="101" spans="1:14" ht="21" x14ac:dyDescent="0.3">
      <c r="A101" s="3"/>
      <c r="B101" s="310"/>
      <c r="C101" s="5" t="s">
        <v>440</v>
      </c>
      <c r="D101" s="135">
        <v>110.46</v>
      </c>
      <c r="E101" s="88">
        <v>123.99</v>
      </c>
      <c r="F101" s="88">
        <v>65.31</v>
      </c>
      <c r="G101" s="311"/>
      <c r="H101" s="1"/>
      <c r="I101" s="1"/>
      <c r="J101" s="1"/>
      <c r="K101" s="1"/>
      <c r="L101" s="1"/>
      <c r="M101" s="1"/>
      <c r="N101" s="1"/>
    </row>
    <row r="102" spans="1:14" ht="21" x14ac:dyDescent="0.3">
      <c r="A102" s="3"/>
      <c r="B102" s="310"/>
      <c r="C102" s="5" t="s">
        <v>441</v>
      </c>
      <c r="D102" s="135">
        <v>7.79</v>
      </c>
      <c r="E102" s="88">
        <v>8.48</v>
      </c>
      <c r="F102" s="88">
        <v>9.06</v>
      </c>
      <c r="G102" s="311"/>
      <c r="H102" s="1"/>
      <c r="I102" s="1"/>
      <c r="J102" s="1"/>
      <c r="K102" s="1"/>
      <c r="L102" s="1"/>
      <c r="M102" s="1"/>
      <c r="N102" s="1"/>
    </row>
    <row r="103" spans="1:14" ht="21" x14ac:dyDescent="0.35">
      <c r="A103" s="3"/>
      <c r="B103" s="310"/>
      <c r="C103" s="54" t="s">
        <v>295</v>
      </c>
      <c r="D103" s="144">
        <f>AVERAGE(D100:D102)</f>
        <v>59.65</v>
      </c>
      <c r="E103" s="144">
        <f>AVERAGE(E100:E102)</f>
        <v>81.916666666666657</v>
      </c>
      <c r="F103" s="116">
        <f>AVERAGE(F100:F102)</f>
        <v>67.23</v>
      </c>
      <c r="G103" s="311"/>
      <c r="H103" s="1"/>
      <c r="I103" s="1"/>
      <c r="J103" s="1"/>
      <c r="K103" s="1"/>
      <c r="L103" s="1"/>
      <c r="M103" s="1"/>
      <c r="N103" s="1"/>
    </row>
    <row r="104" spans="1:14" ht="21" x14ac:dyDescent="0.3">
      <c r="A104" s="3"/>
      <c r="B104" s="301"/>
      <c r="C104" s="302"/>
      <c r="D104" s="302"/>
      <c r="E104" s="302"/>
      <c r="F104" s="302"/>
      <c r="G104" s="303"/>
      <c r="H104" s="1"/>
      <c r="I104" s="1"/>
      <c r="J104" s="1"/>
      <c r="K104" s="1"/>
      <c r="L104" s="1"/>
      <c r="M104" s="1"/>
      <c r="N104" s="1"/>
    </row>
    <row r="105" spans="1:14" ht="21" x14ac:dyDescent="0.3">
      <c r="A105" s="2"/>
      <c r="B105" s="253" t="s">
        <v>82</v>
      </c>
      <c r="C105" s="270"/>
      <c r="D105" s="270"/>
      <c r="E105" s="270"/>
      <c r="F105" s="270"/>
      <c r="G105" s="254"/>
      <c r="H105" s="2"/>
      <c r="I105" s="2"/>
      <c r="J105" s="2"/>
      <c r="K105" s="2"/>
      <c r="L105" s="2"/>
      <c r="M105" s="2"/>
      <c r="N105" s="2"/>
    </row>
    <row r="106" spans="1:14" ht="21" x14ac:dyDescent="0.3">
      <c r="A106" s="3"/>
      <c r="B106" s="304" t="s">
        <v>566</v>
      </c>
      <c r="C106" s="242"/>
      <c r="D106" s="242"/>
      <c r="E106" s="242"/>
      <c r="F106" s="242"/>
      <c r="G106" s="305"/>
      <c r="H106" s="1"/>
      <c r="I106" s="1"/>
      <c r="J106" s="1"/>
      <c r="K106" s="1"/>
      <c r="L106" s="1"/>
      <c r="M106" s="1"/>
      <c r="N106" s="1"/>
    </row>
    <row r="107" spans="1:14" ht="21" x14ac:dyDescent="0.3">
      <c r="A107" s="3"/>
      <c r="B107" s="248"/>
      <c r="C107" s="248"/>
      <c r="D107" s="248"/>
      <c r="E107" s="55"/>
      <c r="F107" s="55"/>
      <c r="G107" s="55"/>
      <c r="H107" s="1"/>
      <c r="I107" s="1"/>
      <c r="J107" s="1"/>
      <c r="K107" s="1"/>
      <c r="L107" s="1"/>
      <c r="M107" s="1"/>
      <c r="N107" s="1"/>
    </row>
    <row r="108" spans="1:14" ht="21" x14ac:dyDescent="0.3">
      <c r="A108" s="1"/>
      <c r="B108" s="1"/>
      <c r="C108" s="306"/>
      <c r="D108" s="306"/>
      <c r="E108" s="306"/>
      <c r="F108" s="306"/>
      <c r="G108" s="306"/>
      <c r="H108" s="1"/>
      <c r="I108" s="1"/>
      <c r="J108" s="1"/>
      <c r="K108" s="1"/>
      <c r="L108" s="1"/>
      <c r="M108" s="1"/>
      <c r="N108" s="1"/>
    </row>
    <row r="109" spans="1:14" ht="21" x14ac:dyDescent="0.3">
      <c r="A109" s="3">
        <v>14</v>
      </c>
      <c r="B109" s="54" t="s">
        <v>63</v>
      </c>
      <c r="C109" s="307" t="s">
        <v>50</v>
      </c>
      <c r="D109" s="308"/>
      <c r="E109" s="308"/>
      <c r="F109" s="308"/>
      <c r="G109" s="249"/>
      <c r="H109" s="1"/>
      <c r="I109" s="1"/>
      <c r="J109" s="1"/>
      <c r="K109" s="1"/>
      <c r="L109" s="1"/>
      <c r="M109" s="1"/>
      <c r="N109" s="1"/>
    </row>
    <row r="110" spans="1:14" ht="21" x14ac:dyDescent="0.3">
      <c r="A110" s="1"/>
      <c r="B110" s="1"/>
      <c r="C110" s="55"/>
      <c r="D110" s="55"/>
      <c r="E110" s="55"/>
      <c r="F110" s="55"/>
      <c r="G110" s="55"/>
      <c r="H110" s="1"/>
      <c r="I110" s="1"/>
      <c r="J110" s="1"/>
      <c r="K110" s="1"/>
      <c r="L110" s="1"/>
      <c r="M110" s="1"/>
      <c r="N110" s="1"/>
    </row>
    <row r="111" spans="1:14" ht="21" x14ac:dyDescent="0.3">
      <c r="A111" s="1"/>
      <c r="B111" s="299" t="s">
        <v>472</v>
      </c>
      <c r="C111" s="299"/>
      <c r="D111" s="299"/>
      <c r="E111" s="299"/>
      <c r="F111" s="299"/>
      <c r="G111" s="299"/>
      <c r="H111" s="299"/>
      <c r="I111" s="1"/>
      <c r="J111" s="1"/>
      <c r="K111" s="1"/>
      <c r="L111" s="1"/>
      <c r="M111" s="1"/>
      <c r="N111" s="1"/>
    </row>
  </sheetData>
  <mergeCells count="66">
    <mergeCell ref="C108:G108"/>
    <mergeCell ref="C109:G109"/>
    <mergeCell ref="B111:H111"/>
    <mergeCell ref="B92:B97"/>
    <mergeCell ref="B98:B103"/>
    <mergeCell ref="B104:G104"/>
    <mergeCell ref="B105:G105"/>
    <mergeCell ref="B106:G106"/>
    <mergeCell ref="B107:D107"/>
    <mergeCell ref="G80:G103"/>
    <mergeCell ref="B80:B85"/>
    <mergeCell ref="B86:B91"/>
    <mergeCell ref="B72:N72"/>
    <mergeCell ref="B73:F73"/>
    <mergeCell ref="B74:F74"/>
    <mergeCell ref="B75:F75"/>
    <mergeCell ref="B77:G77"/>
    <mergeCell ref="B76:F76"/>
    <mergeCell ref="F68:H68"/>
    <mergeCell ref="I68:K68"/>
    <mergeCell ref="L68:N68"/>
    <mergeCell ref="L70:N71"/>
    <mergeCell ref="B60:E60"/>
    <mergeCell ref="C62:E62"/>
    <mergeCell ref="C63:E63"/>
    <mergeCell ref="C64:E64"/>
    <mergeCell ref="B68:B69"/>
    <mergeCell ref="C68:C69"/>
    <mergeCell ref="D68:D69"/>
    <mergeCell ref="E68:E69"/>
    <mergeCell ref="B34:E34"/>
    <mergeCell ref="B36:E36"/>
    <mergeCell ref="C58:E58"/>
    <mergeCell ref="B42:E42"/>
    <mergeCell ref="C43:E43"/>
    <mergeCell ref="C44:E44"/>
    <mergeCell ref="C45:E45"/>
    <mergeCell ref="B46:E46"/>
    <mergeCell ref="B48:E48"/>
    <mergeCell ref="B51:E51"/>
    <mergeCell ref="B54:E54"/>
    <mergeCell ref="B55:B56"/>
    <mergeCell ref="C55:E56"/>
    <mergeCell ref="C57:E57"/>
    <mergeCell ref="C23:E23"/>
    <mergeCell ref="C24:E24"/>
    <mergeCell ref="B27:E27"/>
    <mergeCell ref="B28:E28"/>
    <mergeCell ref="E30:E33"/>
    <mergeCell ref="B26:E26"/>
    <mergeCell ref="B59:E59"/>
    <mergeCell ref="C20:E20"/>
    <mergeCell ref="A1:B1"/>
    <mergeCell ref="C3:E3"/>
    <mergeCell ref="C5:E5"/>
    <mergeCell ref="B6:D6"/>
    <mergeCell ref="B9:D9"/>
    <mergeCell ref="C11:E11"/>
    <mergeCell ref="B12:D12"/>
    <mergeCell ref="C14:E14"/>
    <mergeCell ref="B15:D15"/>
    <mergeCell ref="B17:C17"/>
    <mergeCell ref="B19:E19"/>
    <mergeCell ref="B40:D40"/>
    <mergeCell ref="C21:E21"/>
    <mergeCell ref="C22:E22"/>
  </mergeCells>
  <pageMargins left="0.70866141732283472" right="0.96" top="0.74803149606299213" bottom="0.74803149606299213" header="0.31496062992125984" footer="0.31496062992125984"/>
  <pageSetup paperSize="9" scale="31" fitToWidth="70" fitToHeight="2" orientation="landscape" horizontalDpi="4294967292" verticalDpi="1200" r:id="rId1"/>
  <rowBreaks count="1" manualBreakCount="1">
    <brk id="61" max="14"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0F23F-DE5F-43D8-BCAB-4123027EDA7D}">
  <dimension ref="A1:Q114"/>
  <sheetViews>
    <sheetView view="pageBreakPreview" topLeftCell="A2" zoomScale="45" zoomScaleNormal="68" zoomScaleSheetLayoutView="66" workbookViewId="0">
      <selection activeCell="I102" sqref="I102"/>
    </sheetView>
  </sheetViews>
  <sheetFormatPr defaultColWidth="8.6640625" defaultRowHeight="21" x14ac:dyDescent="0.3"/>
  <cols>
    <col min="1" max="1" width="8.77734375" style="1" bestFit="1" customWidth="1"/>
    <col min="2" max="2" width="58.33203125" style="1" customWidth="1"/>
    <col min="3" max="3" width="81" style="1" customWidth="1"/>
    <col min="4" max="4" width="73.109375" style="1" customWidth="1"/>
    <col min="5" max="5" width="21.109375" style="1" customWidth="1"/>
    <col min="6" max="6" width="12.6640625" style="1" customWidth="1"/>
    <col min="7" max="7" width="16" style="1" customWidth="1"/>
    <col min="8" max="8" width="16.88671875" style="1" customWidth="1"/>
    <col min="9" max="9" width="16" style="1" customWidth="1"/>
    <col min="10" max="10" width="19.109375" style="1" customWidth="1"/>
    <col min="11" max="11" width="12.88671875" style="1" bestFit="1" customWidth="1"/>
    <col min="12" max="14" width="8.6640625" style="1"/>
    <col min="15" max="15" width="13.77734375" style="1" bestFit="1" customWidth="1"/>
    <col min="16" max="16" width="14.5546875" style="1" bestFit="1" customWidth="1"/>
    <col min="17" max="17" width="18.5546875" style="1" bestFit="1" customWidth="1"/>
    <col min="18" max="16384" width="8.6640625" style="1"/>
  </cols>
  <sheetData>
    <row r="1" spans="1:5" ht="20.25" customHeight="1" x14ac:dyDescent="0.3">
      <c r="A1" s="246" t="s">
        <v>0</v>
      </c>
      <c r="B1" s="246"/>
      <c r="D1" s="2"/>
    </row>
    <row r="3" spans="1:5" ht="40.799999999999997" x14ac:dyDescent="0.3">
      <c r="A3" s="3" t="s">
        <v>1</v>
      </c>
      <c r="B3" s="54" t="s">
        <v>2</v>
      </c>
      <c r="C3" s="300" t="s">
        <v>498</v>
      </c>
      <c r="D3" s="300"/>
      <c r="E3" s="300"/>
    </row>
    <row r="4" spans="1:5" x14ac:dyDescent="0.3">
      <c r="D4" s="22"/>
    </row>
    <row r="5" spans="1:5" x14ac:dyDescent="0.3">
      <c r="A5" s="62">
        <v>1</v>
      </c>
      <c r="B5" s="63" t="s">
        <v>3</v>
      </c>
      <c r="C5" s="247" t="s">
        <v>132</v>
      </c>
      <c r="D5" s="248"/>
      <c r="E5" s="249"/>
    </row>
    <row r="6" spans="1:5" x14ac:dyDescent="0.3">
      <c r="A6" s="3"/>
      <c r="B6" s="250" t="s">
        <v>4</v>
      </c>
      <c r="C6" s="251"/>
      <c r="D6" s="252"/>
      <c r="E6" s="10"/>
    </row>
    <row r="7" spans="1:5" x14ac:dyDescent="0.3">
      <c r="A7" s="3"/>
      <c r="B7" s="2"/>
      <c r="D7" s="22"/>
    </row>
    <row r="8" spans="1:5" x14ac:dyDescent="0.3">
      <c r="A8" s="3">
        <v>2</v>
      </c>
      <c r="B8" s="63" t="s">
        <v>5</v>
      </c>
      <c r="C8" s="12" t="s">
        <v>497</v>
      </c>
      <c r="D8" s="22"/>
    </row>
    <row r="9" spans="1:5" x14ac:dyDescent="0.3">
      <c r="A9" s="3"/>
      <c r="B9" s="250" t="s">
        <v>4</v>
      </c>
      <c r="C9" s="251"/>
      <c r="D9" s="252"/>
    </row>
    <row r="10" spans="1:5" x14ac:dyDescent="0.3">
      <c r="A10" s="3"/>
      <c r="B10" s="2"/>
      <c r="D10" s="22"/>
    </row>
    <row r="11" spans="1:5" ht="40.950000000000003" customHeight="1" x14ac:dyDescent="0.3">
      <c r="A11" s="3">
        <v>3</v>
      </c>
      <c r="B11" s="63" t="s">
        <v>6</v>
      </c>
      <c r="C11" s="247" t="s">
        <v>90</v>
      </c>
      <c r="D11" s="248"/>
      <c r="E11" s="249"/>
    </row>
    <row r="12" spans="1:5" x14ac:dyDescent="0.3">
      <c r="A12" s="3"/>
      <c r="B12" s="250" t="s">
        <v>4</v>
      </c>
      <c r="C12" s="251"/>
      <c r="D12" s="252"/>
      <c r="E12" s="10"/>
    </row>
    <row r="13" spans="1:5" x14ac:dyDescent="0.3">
      <c r="A13" s="3"/>
      <c r="B13" s="2"/>
      <c r="D13" s="22"/>
    </row>
    <row r="14" spans="1:5" x14ac:dyDescent="0.3">
      <c r="A14" s="3">
        <v>4</v>
      </c>
      <c r="B14" s="54" t="s">
        <v>92</v>
      </c>
      <c r="C14" s="247" t="s">
        <v>90</v>
      </c>
      <c r="D14" s="248"/>
      <c r="E14" s="249"/>
    </row>
    <row r="15" spans="1:5" x14ac:dyDescent="0.3">
      <c r="A15" s="3"/>
      <c r="B15" s="250" t="s">
        <v>4</v>
      </c>
      <c r="C15" s="251"/>
      <c r="D15" s="252"/>
    </row>
    <row r="16" spans="1:5" x14ac:dyDescent="0.3">
      <c r="A16" s="3">
        <v>4</v>
      </c>
      <c r="B16" s="54" t="s">
        <v>7</v>
      </c>
      <c r="C16" s="5" t="s">
        <v>583</v>
      </c>
      <c r="D16" s="22"/>
    </row>
    <row r="17" spans="1:14" x14ac:dyDescent="0.3">
      <c r="A17" s="3"/>
      <c r="B17" s="253" t="s">
        <v>8</v>
      </c>
      <c r="C17" s="254"/>
      <c r="D17" s="22"/>
    </row>
    <row r="18" spans="1:14" x14ac:dyDescent="0.3">
      <c r="A18" s="3"/>
      <c r="D18" s="22"/>
    </row>
    <row r="19" spans="1:14" x14ac:dyDescent="0.3">
      <c r="A19" s="3">
        <v>5</v>
      </c>
      <c r="B19" s="255" t="s">
        <v>9</v>
      </c>
      <c r="C19" s="256"/>
      <c r="D19" s="256"/>
      <c r="E19" s="257"/>
      <c r="F19" s="2"/>
      <c r="G19" s="2"/>
      <c r="H19" s="2"/>
      <c r="I19" s="2"/>
      <c r="J19" s="10"/>
      <c r="K19" s="10"/>
      <c r="L19" s="10"/>
      <c r="M19" s="10"/>
      <c r="N19" s="10"/>
    </row>
    <row r="20" spans="1:14" x14ac:dyDescent="0.3">
      <c r="A20" s="3"/>
      <c r="B20" s="65" t="s">
        <v>10</v>
      </c>
      <c r="C20" s="243">
        <v>4.1000000000000003E-3</v>
      </c>
      <c r="D20" s="244"/>
      <c r="E20" s="245"/>
      <c r="F20" s="66"/>
      <c r="G20" s="10"/>
      <c r="H20" s="10"/>
      <c r="I20" s="10"/>
      <c r="J20" s="10"/>
      <c r="K20" s="10"/>
      <c r="L20" s="10"/>
      <c r="M20" s="10"/>
      <c r="N20" s="10"/>
    </row>
    <row r="21" spans="1:14" ht="61.2" x14ac:dyDescent="0.3">
      <c r="A21" s="3"/>
      <c r="B21" s="65" t="s">
        <v>473</v>
      </c>
      <c r="C21" s="243" t="s">
        <v>493</v>
      </c>
      <c r="D21" s="244"/>
      <c r="E21" s="245"/>
      <c r="F21" s="66"/>
      <c r="G21" s="10"/>
      <c r="I21" s="10"/>
      <c r="J21" s="10"/>
      <c r="K21" s="10"/>
      <c r="L21" s="10"/>
      <c r="M21" s="10"/>
      <c r="N21" s="10"/>
    </row>
    <row r="22" spans="1:14" x14ac:dyDescent="0.3">
      <c r="A22" s="3"/>
      <c r="B22" s="65" t="s">
        <v>474</v>
      </c>
      <c r="C22" s="438" t="s">
        <v>11</v>
      </c>
      <c r="D22" s="439"/>
      <c r="E22" s="440"/>
      <c r="F22" s="66"/>
      <c r="G22" s="10"/>
      <c r="H22" s="10"/>
      <c r="I22" s="10"/>
      <c r="J22" s="10"/>
      <c r="K22" s="10"/>
      <c r="L22" s="10"/>
      <c r="M22" s="10"/>
      <c r="N22" s="10"/>
    </row>
    <row r="23" spans="1:14" x14ac:dyDescent="0.3">
      <c r="A23" s="3"/>
      <c r="B23" s="64" t="s">
        <v>475</v>
      </c>
      <c r="C23" s="442" t="s">
        <v>11</v>
      </c>
      <c r="D23" s="370"/>
      <c r="E23" s="371"/>
      <c r="F23" s="66"/>
      <c r="G23" s="10"/>
      <c r="H23" s="10"/>
      <c r="I23" s="10"/>
      <c r="J23" s="10"/>
      <c r="K23" s="10"/>
      <c r="L23" s="10"/>
      <c r="M23" s="10"/>
      <c r="N23" s="10"/>
    </row>
    <row r="24" spans="1:14" x14ac:dyDescent="0.3">
      <c r="A24" s="3"/>
      <c r="B24" s="67" t="s">
        <v>476</v>
      </c>
      <c r="C24" s="401" t="s">
        <v>15</v>
      </c>
      <c r="D24" s="401"/>
      <c r="E24" s="401"/>
      <c r="F24" s="66"/>
      <c r="G24" s="10"/>
      <c r="H24" s="10"/>
      <c r="I24" s="10"/>
      <c r="J24" s="10"/>
      <c r="K24" s="10"/>
      <c r="L24" s="10"/>
      <c r="M24" s="10"/>
      <c r="N24" s="10"/>
    </row>
    <row r="25" spans="1:14" x14ac:dyDescent="0.3">
      <c r="A25" s="3"/>
      <c r="B25" s="66" t="s">
        <v>347</v>
      </c>
      <c r="C25" s="66"/>
      <c r="D25" s="66"/>
      <c r="E25" s="66"/>
      <c r="F25" s="66"/>
      <c r="G25" s="10"/>
      <c r="H25" s="10"/>
      <c r="I25" s="10"/>
      <c r="J25" s="10"/>
      <c r="K25" s="10"/>
      <c r="L25" s="10"/>
      <c r="M25" s="10"/>
      <c r="N25" s="10"/>
    </row>
    <row r="26" spans="1:14" x14ac:dyDescent="0.3">
      <c r="A26" s="3">
        <v>6</v>
      </c>
      <c r="B26" s="261" t="s">
        <v>74</v>
      </c>
      <c r="C26" s="262"/>
      <c r="D26" s="262"/>
      <c r="E26" s="263"/>
      <c r="F26" s="2"/>
      <c r="G26" s="2"/>
      <c r="H26" s="10"/>
      <c r="I26" s="2"/>
      <c r="J26" s="2"/>
    </row>
    <row r="27" spans="1:14" x14ac:dyDescent="0.3">
      <c r="A27" s="3"/>
      <c r="B27" s="264" t="s">
        <v>17</v>
      </c>
      <c r="C27" s="265"/>
      <c r="D27" s="265"/>
      <c r="E27" s="266"/>
      <c r="F27" s="66"/>
    </row>
    <row r="28" spans="1:14" ht="40.799999999999997" x14ac:dyDescent="0.3">
      <c r="A28" s="3"/>
      <c r="B28" s="67" t="s">
        <v>18</v>
      </c>
      <c r="C28" s="25" t="s">
        <v>477</v>
      </c>
      <c r="D28" s="25" t="s">
        <v>478</v>
      </c>
      <c r="E28" s="25" t="s">
        <v>479</v>
      </c>
      <c r="F28" s="66"/>
    </row>
    <row r="29" spans="1:14" ht="20.7" customHeight="1" x14ac:dyDescent="0.3">
      <c r="A29" s="3"/>
      <c r="B29" s="68" t="s">
        <v>21</v>
      </c>
      <c r="C29" s="5">
        <v>1917.95</v>
      </c>
      <c r="D29" s="12">
        <v>602.32000000000005</v>
      </c>
      <c r="E29" s="267" t="s">
        <v>22</v>
      </c>
      <c r="F29" s="66"/>
    </row>
    <row r="30" spans="1:14" x14ac:dyDescent="0.3">
      <c r="A30" s="3"/>
      <c r="B30" s="68" t="s">
        <v>23</v>
      </c>
      <c r="C30" s="5">
        <v>-376.98</v>
      </c>
      <c r="D30" s="223">
        <v>-334.83</v>
      </c>
      <c r="E30" s="268"/>
      <c r="F30" s="66"/>
    </row>
    <row r="31" spans="1:14" x14ac:dyDescent="0.3">
      <c r="A31" s="3"/>
      <c r="B31" s="68" t="s">
        <v>24</v>
      </c>
      <c r="C31" s="5">
        <v>363.63</v>
      </c>
      <c r="D31" s="223">
        <v>363.63</v>
      </c>
      <c r="E31" s="268"/>
      <c r="F31" s="66"/>
      <c r="H31" s="57"/>
    </row>
    <row r="32" spans="1:14" x14ac:dyDescent="0.3">
      <c r="A32" s="3"/>
      <c r="B32" s="68" t="s">
        <v>25</v>
      </c>
      <c r="C32" s="175">
        <v>1059.45</v>
      </c>
      <c r="D32" s="130">
        <v>724.62</v>
      </c>
      <c r="E32" s="269"/>
      <c r="F32" s="66"/>
    </row>
    <row r="33" spans="1:10" x14ac:dyDescent="0.3">
      <c r="A33" s="3"/>
      <c r="B33" s="253" t="s">
        <v>193</v>
      </c>
      <c r="C33" s="270"/>
      <c r="D33" s="270"/>
      <c r="E33" s="254"/>
      <c r="F33" s="66"/>
    </row>
    <row r="34" spans="1:10" x14ac:dyDescent="0.3">
      <c r="A34" s="3"/>
      <c r="B34" s="10"/>
      <c r="C34" s="66"/>
      <c r="D34" s="66"/>
      <c r="E34" s="66"/>
      <c r="F34" s="66"/>
    </row>
    <row r="35" spans="1:10" ht="41.7" customHeight="1" x14ac:dyDescent="0.3">
      <c r="A35" s="3">
        <v>7</v>
      </c>
      <c r="B35" s="261" t="s">
        <v>26</v>
      </c>
      <c r="C35" s="262"/>
      <c r="D35" s="262"/>
      <c r="E35" s="263"/>
      <c r="F35" s="2"/>
      <c r="G35" s="2"/>
      <c r="H35" s="2"/>
      <c r="I35" s="2"/>
      <c r="J35" s="2"/>
    </row>
    <row r="36" spans="1:10" x14ac:dyDescent="0.3">
      <c r="A36" s="3"/>
      <c r="B36" s="67" t="s">
        <v>247</v>
      </c>
      <c r="C36" s="27" t="s">
        <v>496</v>
      </c>
      <c r="D36" s="5"/>
      <c r="E36" s="5"/>
      <c r="F36" s="10"/>
    </row>
    <row r="37" spans="1:10" x14ac:dyDescent="0.3">
      <c r="A37" s="3"/>
      <c r="B37" s="67" t="s">
        <v>28</v>
      </c>
      <c r="C37" s="27" t="s">
        <v>496</v>
      </c>
      <c r="D37" s="10"/>
      <c r="E37" s="10"/>
      <c r="F37" s="10"/>
    </row>
    <row r="38" spans="1:10" x14ac:dyDescent="0.3">
      <c r="A38" s="3"/>
      <c r="B38" s="67" t="s">
        <v>29</v>
      </c>
      <c r="C38" s="27" t="s">
        <v>15</v>
      </c>
      <c r="D38" s="10"/>
      <c r="E38" s="10"/>
      <c r="F38" s="10"/>
    </row>
    <row r="39" spans="1:10" ht="42" customHeight="1" x14ac:dyDescent="0.3">
      <c r="A39" s="3"/>
      <c r="B39" s="271" t="s">
        <v>499</v>
      </c>
      <c r="C39" s="271"/>
      <c r="D39" s="271"/>
      <c r="E39" s="10"/>
      <c r="F39" s="10"/>
    </row>
    <row r="40" spans="1:10" x14ac:dyDescent="0.3">
      <c r="A40" s="3"/>
      <c r="B40" s="66"/>
      <c r="C40" s="10"/>
      <c r="D40" s="10"/>
      <c r="E40" s="10"/>
      <c r="F40" s="10"/>
    </row>
    <row r="41" spans="1:10" x14ac:dyDescent="0.3">
      <c r="A41" s="3">
        <v>8</v>
      </c>
      <c r="B41" s="261" t="s">
        <v>30</v>
      </c>
      <c r="C41" s="262"/>
      <c r="D41" s="262"/>
      <c r="E41" s="263"/>
      <c r="F41" s="2"/>
      <c r="G41" s="2"/>
      <c r="H41" s="2"/>
      <c r="I41" s="2"/>
      <c r="J41" s="2"/>
    </row>
    <row r="42" spans="1:10" x14ac:dyDescent="0.3">
      <c r="A42" s="3"/>
      <c r="B42" s="67" t="s">
        <v>31</v>
      </c>
      <c r="C42" s="258" t="s">
        <v>11</v>
      </c>
      <c r="D42" s="259"/>
      <c r="E42" s="260"/>
      <c r="F42" s="10"/>
    </row>
    <row r="43" spans="1:10" x14ac:dyDescent="0.3">
      <c r="A43" s="3"/>
      <c r="B43" s="295" t="s">
        <v>28</v>
      </c>
      <c r="C43" s="247" t="s">
        <v>968</v>
      </c>
      <c r="D43" s="248"/>
      <c r="E43" s="362"/>
      <c r="F43" s="10"/>
    </row>
    <row r="44" spans="1:10" x14ac:dyDescent="0.3">
      <c r="A44" s="3"/>
      <c r="B44" s="460"/>
      <c r="C44" s="461"/>
      <c r="D44" s="462"/>
      <c r="E44" s="463"/>
      <c r="F44" s="10"/>
    </row>
    <row r="45" spans="1:10" x14ac:dyDescent="0.3">
      <c r="A45" s="3"/>
      <c r="B45" s="460"/>
      <c r="C45" s="461"/>
      <c r="D45" s="462"/>
      <c r="E45" s="463"/>
      <c r="F45" s="10"/>
    </row>
    <row r="46" spans="1:10" x14ac:dyDescent="0.3">
      <c r="A46" s="3"/>
      <c r="B46" s="460"/>
      <c r="C46" s="461"/>
      <c r="D46" s="462"/>
      <c r="E46" s="463"/>
      <c r="F46" s="10"/>
    </row>
    <row r="47" spans="1:10" ht="79.8" customHeight="1" x14ac:dyDescent="0.3">
      <c r="A47" s="3"/>
      <c r="B47" s="460"/>
      <c r="C47" s="461"/>
      <c r="D47" s="462"/>
      <c r="E47" s="463"/>
      <c r="F47" s="10"/>
    </row>
    <row r="48" spans="1:10" hidden="1" x14ac:dyDescent="0.3">
      <c r="A48" s="3"/>
      <c r="B48" s="460"/>
      <c r="C48" s="461"/>
      <c r="D48" s="462"/>
      <c r="E48" s="463"/>
      <c r="F48" s="10"/>
    </row>
    <row r="49" spans="1:14" ht="166.2" hidden="1" customHeight="1" x14ac:dyDescent="0.3">
      <c r="A49" s="3"/>
      <c r="B49" s="296"/>
      <c r="C49" s="464"/>
      <c r="D49" s="465"/>
      <c r="E49" s="466"/>
      <c r="F49" s="10"/>
    </row>
    <row r="50" spans="1:14" x14ac:dyDescent="0.3">
      <c r="A50" s="3"/>
      <c r="B50" s="67" t="s">
        <v>29</v>
      </c>
      <c r="C50" s="258"/>
      <c r="D50" s="259"/>
      <c r="E50" s="260"/>
      <c r="F50" s="10"/>
    </row>
    <row r="51" spans="1:14" x14ac:dyDescent="0.3">
      <c r="A51" s="3"/>
      <c r="B51" s="253" t="s">
        <v>192</v>
      </c>
      <c r="C51" s="270"/>
      <c r="D51" s="270"/>
      <c r="E51" s="254"/>
      <c r="F51" s="10"/>
    </row>
    <row r="52" spans="1:14" x14ac:dyDescent="0.3">
      <c r="A52" s="3"/>
      <c r="D52" s="22"/>
      <c r="E52" s="10"/>
    </row>
    <row r="53" spans="1:14" ht="43.2" customHeight="1" x14ac:dyDescent="0.3">
      <c r="A53" s="191">
        <v>9</v>
      </c>
      <c r="B53" s="262" t="s">
        <v>32</v>
      </c>
      <c r="C53" s="262"/>
      <c r="D53" s="262"/>
      <c r="E53" s="263"/>
      <c r="F53" s="2"/>
      <c r="G53" s="2"/>
      <c r="H53" s="2"/>
      <c r="I53" s="2"/>
    </row>
    <row r="54" spans="1:14" ht="81.599999999999994" x14ac:dyDescent="0.3">
      <c r="A54" s="191"/>
      <c r="B54" s="24" t="s">
        <v>33</v>
      </c>
      <c r="C54" s="25" t="s">
        <v>34</v>
      </c>
      <c r="D54" s="25" t="s">
        <v>96</v>
      </c>
      <c r="E54" s="25" t="s">
        <v>35</v>
      </c>
    </row>
    <row r="55" spans="1:14" ht="100.2" customHeight="1" x14ac:dyDescent="0.3">
      <c r="A55" s="191"/>
      <c r="B55" s="189" t="s">
        <v>969</v>
      </c>
      <c r="C55" s="27" t="s">
        <v>889</v>
      </c>
      <c r="D55" s="27" t="s">
        <v>890</v>
      </c>
      <c r="E55" s="27" t="s">
        <v>877</v>
      </c>
    </row>
    <row r="56" spans="1:14" ht="123.6" customHeight="1" x14ac:dyDescent="0.3">
      <c r="A56" s="191"/>
      <c r="B56" s="270" t="s">
        <v>878</v>
      </c>
      <c r="C56" s="270"/>
      <c r="D56" s="270"/>
      <c r="E56" s="254"/>
    </row>
    <row r="57" spans="1:14" x14ac:dyDescent="0.3">
      <c r="A57" s="191"/>
      <c r="B57" s="103" t="s">
        <v>970</v>
      </c>
      <c r="C57" s="87"/>
      <c r="D57" s="87"/>
      <c r="E57" s="87"/>
    </row>
    <row r="58" spans="1:14" s="32" customFormat="1" x14ac:dyDescent="0.4">
      <c r="A58" s="191"/>
      <c r="B58" s="28"/>
      <c r="C58" s="22"/>
      <c r="D58" s="22"/>
      <c r="E58" s="22"/>
      <c r="F58" s="66"/>
      <c r="G58" s="66"/>
      <c r="H58" s="66"/>
      <c r="I58" s="66"/>
      <c r="J58" s="1"/>
      <c r="K58" s="1"/>
      <c r="L58" s="1"/>
      <c r="M58" s="1"/>
      <c r="N58" s="1"/>
    </row>
    <row r="59" spans="1:14" x14ac:dyDescent="0.3">
      <c r="A59" s="191">
        <v>10</v>
      </c>
      <c r="B59" s="262" t="s">
        <v>32</v>
      </c>
      <c r="C59" s="262"/>
      <c r="D59" s="262"/>
      <c r="E59" s="263"/>
      <c r="F59" s="66"/>
      <c r="G59" s="66"/>
      <c r="H59" s="66"/>
    </row>
    <row r="60" spans="1:14" x14ac:dyDescent="0.3">
      <c r="A60" s="191"/>
      <c r="B60" s="275" t="s">
        <v>36</v>
      </c>
      <c r="C60" s="277" t="s">
        <v>891</v>
      </c>
      <c r="D60" s="278"/>
      <c r="E60" s="279"/>
      <c r="K60" s="2"/>
    </row>
    <row r="61" spans="1:14" ht="20.7" customHeight="1" x14ac:dyDescent="0.3">
      <c r="A61" s="191"/>
      <c r="B61" s="276"/>
      <c r="C61" s="280"/>
      <c r="D61" s="281"/>
      <c r="E61" s="282"/>
      <c r="K61" s="2"/>
    </row>
    <row r="62" spans="1:14" s="42" customFormat="1" x14ac:dyDescent="0.3">
      <c r="A62" s="191"/>
      <c r="B62" s="29" t="s">
        <v>37</v>
      </c>
      <c r="C62" s="283" t="s">
        <v>631</v>
      </c>
      <c r="D62" s="284"/>
      <c r="E62" s="285"/>
      <c r="F62" s="1"/>
      <c r="G62" s="1"/>
      <c r="H62" s="1"/>
      <c r="I62" s="1"/>
      <c r="J62" s="1"/>
      <c r="K62" s="1"/>
      <c r="L62" s="1"/>
      <c r="M62" s="1"/>
      <c r="N62" s="1"/>
    </row>
    <row r="63" spans="1:14" x14ac:dyDescent="0.3">
      <c r="A63" s="191"/>
      <c r="B63" s="29" t="s">
        <v>38</v>
      </c>
      <c r="C63" s="391" t="s">
        <v>877</v>
      </c>
      <c r="D63" s="392"/>
      <c r="E63" s="393"/>
      <c r="K63" s="30"/>
    </row>
    <row r="64" spans="1:14" x14ac:dyDescent="0.4">
      <c r="A64" s="111" t="s">
        <v>39</v>
      </c>
      <c r="B64" s="290" t="s">
        <v>970</v>
      </c>
      <c r="C64" s="290"/>
      <c r="D64" s="290"/>
      <c r="E64" s="291"/>
      <c r="F64" s="32"/>
      <c r="G64" s="32"/>
      <c r="H64" s="32"/>
      <c r="I64" s="32"/>
      <c r="J64" s="32"/>
      <c r="K64" s="32"/>
      <c r="L64" s="32"/>
      <c r="M64" s="32"/>
      <c r="N64" s="32"/>
    </row>
    <row r="65" spans="1:14" x14ac:dyDescent="0.3">
      <c r="A65" s="71"/>
      <c r="B65" s="72"/>
      <c r="C65" s="73"/>
      <c r="D65" s="73"/>
      <c r="E65" s="73"/>
      <c r="F65" s="73"/>
    </row>
    <row r="66" spans="1:14" ht="35.4" customHeight="1" x14ac:dyDescent="0.3">
      <c r="A66" s="3">
        <v>11</v>
      </c>
      <c r="B66" s="54" t="s">
        <v>41</v>
      </c>
      <c r="C66" s="270" t="s">
        <v>121</v>
      </c>
      <c r="D66" s="270"/>
      <c r="E66" s="270"/>
      <c r="F66" s="2"/>
      <c r="G66" s="2"/>
      <c r="H66" s="74"/>
      <c r="I66" s="2"/>
      <c r="J66" s="2"/>
    </row>
    <row r="67" spans="1:14" x14ac:dyDescent="0.3">
      <c r="A67" s="3"/>
      <c r="B67" s="66"/>
      <c r="C67" s="270"/>
      <c r="D67" s="270"/>
      <c r="E67" s="270"/>
      <c r="F67" s="66"/>
      <c r="G67" s="66"/>
      <c r="H67" s="75"/>
      <c r="I67" s="75"/>
      <c r="J67" s="66"/>
    </row>
    <row r="68" spans="1:14" ht="37.200000000000003" customHeight="1" x14ac:dyDescent="0.3">
      <c r="A68" s="76">
        <v>12</v>
      </c>
      <c r="B68" s="77" t="s">
        <v>42</v>
      </c>
      <c r="C68" s="272"/>
      <c r="D68" s="273"/>
      <c r="E68" s="274"/>
      <c r="F68" s="78"/>
      <c r="G68" s="79"/>
      <c r="H68" s="79"/>
      <c r="I68" s="79"/>
      <c r="J68" s="79"/>
      <c r="K68" s="79"/>
      <c r="L68" s="79"/>
      <c r="M68" s="79"/>
      <c r="N68" s="79"/>
    </row>
    <row r="69" spans="1:14" x14ac:dyDescent="0.3">
      <c r="A69" s="3"/>
      <c r="B69" s="2"/>
      <c r="C69" s="2"/>
      <c r="D69" s="2"/>
      <c r="E69" s="74"/>
      <c r="F69" s="74"/>
      <c r="G69" s="74"/>
      <c r="H69" s="2"/>
      <c r="I69" s="2"/>
      <c r="J69" s="2"/>
      <c r="K69" s="2"/>
      <c r="L69" s="2"/>
      <c r="M69" s="2"/>
      <c r="N69" s="2"/>
    </row>
    <row r="70" spans="1:14" ht="20.25" customHeight="1" x14ac:dyDescent="0.3">
      <c r="A70" s="3"/>
      <c r="B70" s="67" t="s">
        <v>43</v>
      </c>
      <c r="C70" s="68" t="s">
        <v>505</v>
      </c>
      <c r="D70" s="66"/>
      <c r="E70" s="66"/>
      <c r="F70" s="75"/>
      <c r="G70" s="75"/>
      <c r="H70" s="66"/>
      <c r="I70" s="66"/>
      <c r="J70" s="66"/>
      <c r="K70" s="66"/>
      <c r="L70" s="66"/>
      <c r="M70" s="66"/>
      <c r="N70" s="66"/>
    </row>
    <row r="71" spans="1:14" ht="20.25" customHeight="1" x14ac:dyDescent="0.3">
      <c r="A71" s="3"/>
      <c r="B71" s="66"/>
      <c r="C71" s="66"/>
      <c r="D71" s="66"/>
      <c r="E71" s="66"/>
      <c r="F71" s="66"/>
      <c r="G71" s="66"/>
      <c r="H71" s="66"/>
      <c r="I71" s="66"/>
      <c r="J71" s="66"/>
      <c r="K71" s="66"/>
      <c r="L71" s="66"/>
      <c r="M71" s="66"/>
      <c r="N71" s="66"/>
    </row>
    <row r="72" spans="1:14" ht="127.2" customHeight="1" x14ac:dyDescent="0.3">
      <c r="A72" s="3"/>
      <c r="B72" s="295" t="s">
        <v>44</v>
      </c>
      <c r="C72" s="295" t="s">
        <v>500</v>
      </c>
      <c r="D72" s="295" t="s">
        <v>68</v>
      </c>
      <c r="E72" s="297" t="s">
        <v>45</v>
      </c>
      <c r="F72" s="292" t="s">
        <v>480</v>
      </c>
      <c r="G72" s="293"/>
      <c r="H72" s="294"/>
      <c r="I72" s="292" t="s">
        <v>481</v>
      </c>
      <c r="J72" s="293"/>
      <c r="K72" s="294"/>
      <c r="L72" s="292" t="s">
        <v>482</v>
      </c>
      <c r="M72" s="293"/>
      <c r="N72" s="294"/>
    </row>
    <row r="73" spans="1:14" ht="102" x14ac:dyDescent="0.3">
      <c r="A73" s="3"/>
      <c r="B73" s="296"/>
      <c r="C73" s="296"/>
      <c r="D73" s="296"/>
      <c r="E73" s="298"/>
      <c r="F73" s="67" t="s">
        <v>46</v>
      </c>
      <c r="G73" s="67" t="s">
        <v>47</v>
      </c>
      <c r="H73" s="67" t="s">
        <v>48</v>
      </c>
      <c r="I73" s="67" t="s">
        <v>49</v>
      </c>
      <c r="J73" s="67" t="s">
        <v>47</v>
      </c>
      <c r="K73" s="67" t="s">
        <v>48</v>
      </c>
      <c r="L73" s="67" t="s">
        <v>49</v>
      </c>
      <c r="M73" s="67" t="s">
        <v>47</v>
      </c>
      <c r="N73" s="67" t="s">
        <v>48</v>
      </c>
    </row>
    <row r="74" spans="1:14" x14ac:dyDescent="0.3">
      <c r="A74" s="3"/>
      <c r="B74" s="67" t="s">
        <v>112</v>
      </c>
      <c r="C74" s="82">
        <v>133.35</v>
      </c>
      <c r="D74" s="82">
        <v>58.18</v>
      </c>
      <c r="E74" s="82">
        <v>51.98</v>
      </c>
      <c r="F74" s="121">
        <v>23.93</v>
      </c>
      <c r="G74" s="121">
        <v>162.05000000000001</v>
      </c>
      <c r="H74" s="121">
        <v>23.5</v>
      </c>
      <c r="I74" s="121">
        <v>10.98</v>
      </c>
      <c r="J74" s="121">
        <v>39.9</v>
      </c>
      <c r="K74" s="121">
        <v>10.98</v>
      </c>
      <c r="L74" s="345" t="s">
        <v>108</v>
      </c>
      <c r="M74" s="346"/>
      <c r="N74" s="347"/>
    </row>
    <row r="75" spans="1:14" ht="39" customHeight="1" x14ac:dyDescent="0.3">
      <c r="A75" s="3"/>
      <c r="B75" s="69" t="s">
        <v>113</v>
      </c>
      <c r="C75" s="82">
        <v>73104.61</v>
      </c>
      <c r="D75" s="82">
        <v>76992.77</v>
      </c>
      <c r="E75" s="82">
        <v>79648.92</v>
      </c>
      <c r="F75" s="51">
        <v>77414.92</v>
      </c>
      <c r="G75" s="51">
        <v>85978.25</v>
      </c>
      <c r="H75" s="51">
        <v>70234.429999999993</v>
      </c>
      <c r="I75" s="121">
        <v>71947.55</v>
      </c>
      <c r="J75" s="121">
        <v>86159.02</v>
      </c>
      <c r="K75" s="121">
        <v>71425.009999999995</v>
      </c>
      <c r="L75" s="348"/>
      <c r="M75" s="349"/>
      <c r="N75" s="350"/>
    </row>
    <row r="76" spans="1:14" x14ac:dyDescent="0.3">
      <c r="A76" s="3"/>
      <c r="B76" s="253" t="s">
        <v>344</v>
      </c>
      <c r="C76" s="270"/>
      <c r="D76" s="270"/>
      <c r="E76" s="270"/>
      <c r="F76" s="270"/>
      <c r="G76" s="270"/>
      <c r="H76" s="270"/>
      <c r="I76" s="270"/>
      <c r="J76" s="270"/>
      <c r="K76" s="270"/>
      <c r="L76" s="270"/>
      <c r="M76" s="270"/>
      <c r="N76" s="254"/>
    </row>
    <row r="77" spans="1:14" x14ac:dyDescent="0.3">
      <c r="A77" s="3"/>
      <c r="B77" s="253" t="s">
        <v>345</v>
      </c>
      <c r="C77" s="270"/>
      <c r="D77" s="270"/>
      <c r="E77" s="270"/>
      <c r="F77" s="254"/>
      <c r="G77" s="83"/>
      <c r="H77" s="83"/>
      <c r="I77" s="83"/>
      <c r="J77" s="83"/>
      <c r="K77" s="83"/>
      <c r="L77" s="83"/>
      <c r="M77" s="83"/>
      <c r="N77" s="83"/>
    </row>
    <row r="78" spans="1:14" ht="21" customHeight="1" x14ac:dyDescent="0.3">
      <c r="A78" s="3"/>
      <c r="B78" s="253" t="s">
        <v>70</v>
      </c>
      <c r="C78" s="270"/>
      <c r="D78" s="270"/>
      <c r="E78" s="270"/>
      <c r="F78" s="254"/>
      <c r="G78" s="83"/>
      <c r="H78" s="83"/>
      <c r="I78" s="83"/>
      <c r="J78" s="83"/>
      <c r="K78" s="83"/>
      <c r="L78" s="83"/>
      <c r="M78" s="83"/>
      <c r="N78" s="83"/>
    </row>
    <row r="79" spans="1:14" ht="21" customHeight="1" x14ac:dyDescent="0.3">
      <c r="A79" s="3"/>
      <c r="B79" s="253" t="s">
        <v>71</v>
      </c>
      <c r="C79" s="270"/>
      <c r="D79" s="270"/>
      <c r="E79" s="270"/>
      <c r="F79" s="254"/>
      <c r="G79" s="83"/>
      <c r="H79" s="83"/>
      <c r="I79" s="83"/>
      <c r="J79" s="83"/>
      <c r="K79" s="83"/>
      <c r="L79" s="83"/>
      <c r="M79" s="83"/>
      <c r="N79" s="83"/>
    </row>
    <row r="80" spans="1:14" ht="21" customHeight="1" x14ac:dyDescent="0.3">
      <c r="A80" s="3"/>
      <c r="B80" s="403" t="s">
        <v>971</v>
      </c>
      <c r="C80" s="403"/>
      <c r="D80" s="84"/>
      <c r="E80" s="84"/>
      <c r="F80" s="84"/>
      <c r="G80" s="10"/>
      <c r="H80" s="10"/>
      <c r="I80" s="10"/>
      <c r="J80" s="10"/>
      <c r="K80" s="10"/>
      <c r="L80" s="10"/>
      <c r="M80" s="10"/>
      <c r="N80" s="10"/>
    </row>
    <row r="81" spans="1:17" ht="21" customHeight="1" x14ac:dyDescent="0.3">
      <c r="A81" s="3">
        <v>13</v>
      </c>
      <c r="B81" s="261" t="s">
        <v>51</v>
      </c>
      <c r="C81" s="262"/>
      <c r="D81" s="262"/>
      <c r="E81" s="262"/>
      <c r="F81" s="262"/>
      <c r="G81" s="263"/>
      <c r="H81" s="2"/>
      <c r="I81" s="2"/>
      <c r="J81" s="2"/>
      <c r="K81" s="2"/>
      <c r="L81" s="2"/>
      <c r="M81" s="2"/>
      <c r="N81" s="2"/>
    </row>
    <row r="82" spans="1:17" ht="21" customHeight="1" x14ac:dyDescent="0.3">
      <c r="A82" s="3"/>
      <c r="C82" s="66"/>
      <c r="D82" s="66"/>
      <c r="E82" s="66"/>
      <c r="F82" s="66"/>
      <c r="G82" s="66"/>
      <c r="H82" s="66"/>
      <c r="I82" s="66"/>
      <c r="J82" s="66"/>
      <c r="K82" s="66"/>
      <c r="L82" s="66"/>
      <c r="M82" s="66"/>
      <c r="N82" s="66"/>
    </row>
    <row r="83" spans="1:17" ht="21" customHeight="1" x14ac:dyDescent="0.3">
      <c r="A83" s="3"/>
      <c r="B83" s="25" t="s">
        <v>52</v>
      </c>
      <c r="C83" s="25" t="s">
        <v>53</v>
      </c>
      <c r="D83" s="25" t="s">
        <v>603</v>
      </c>
      <c r="E83" s="25" t="s">
        <v>54</v>
      </c>
      <c r="F83" s="25" t="s">
        <v>55</v>
      </c>
      <c r="G83" s="25" t="s">
        <v>56</v>
      </c>
      <c r="H83" s="10"/>
      <c r="I83" s="10"/>
      <c r="J83" s="10"/>
      <c r="K83" s="10"/>
      <c r="L83" s="10"/>
      <c r="M83" s="10"/>
      <c r="N83" s="10"/>
    </row>
    <row r="84" spans="1:17" x14ac:dyDescent="0.3">
      <c r="A84" s="3"/>
      <c r="B84" s="297" t="s">
        <v>72</v>
      </c>
      <c r="C84" s="54" t="s">
        <v>501</v>
      </c>
      <c r="D84" s="134">
        <v>8.7799999999999994</v>
      </c>
      <c r="E84" s="88">
        <v>-10.37</v>
      </c>
      <c r="F84" s="88">
        <v>-9.2100000000000009</v>
      </c>
      <c r="G84" s="470" t="s">
        <v>630</v>
      </c>
      <c r="O84" s="121">
        <v>23.93</v>
      </c>
    </row>
    <row r="85" spans="1:17" x14ac:dyDescent="0.3">
      <c r="A85" s="3"/>
      <c r="B85" s="309"/>
      <c r="C85" s="54" t="s">
        <v>237</v>
      </c>
      <c r="D85" s="135"/>
      <c r="E85" s="88"/>
      <c r="F85" s="88"/>
      <c r="G85" s="471"/>
    </row>
    <row r="86" spans="1:17" x14ac:dyDescent="0.3">
      <c r="A86" s="3"/>
      <c r="B86" s="309"/>
      <c r="C86" s="5" t="s">
        <v>686</v>
      </c>
      <c r="D86" s="135">
        <v>7.28</v>
      </c>
      <c r="E86" s="88">
        <v>28.48</v>
      </c>
      <c r="F86" s="88">
        <v>46.8</v>
      </c>
      <c r="G86" s="471"/>
      <c r="O86" s="58">
        <v>1643.4</v>
      </c>
    </row>
    <row r="87" spans="1:17" x14ac:dyDescent="0.3">
      <c r="A87" s="3"/>
      <c r="B87" s="309"/>
      <c r="C87" s="5" t="s">
        <v>687</v>
      </c>
      <c r="D87" s="135">
        <v>4.1500000000000004</v>
      </c>
      <c r="E87" s="88">
        <v>-24.48</v>
      </c>
      <c r="F87" s="88">
        <v>0.24</v>
      </c>
      <c r="G87" s="471"/>
      <c r="O87" s="1">
        <v>34.25</v>
      </c>
    </row>
    <row r="88" spans="1:17" x14ac:dyDescent="0.3">
      <c r="A88" s="3"/>
      <c r="B88" s="309"/>
      <c r="C88" s="5" t="s">
        <v>688</v>
      </c>
      <c r="D88" s="135">
        <v>0.46</v>
      </c>
      <c r="E88" s="88">
        <v>-1.61</v>
      </c>
      <c r="F88" s="88">
        <v>1.19</v>
      </c>
      <c r="G88" s="471"/>
      <c r="O88" s="1">
        <v>17.100000000000001</v>
      </c>
    </row>
    <row r="89" spans="1:17" x14ac:dyDescent="0.3">
      <c r="A89" s="3"/>
      <c r="B89" s="298"/>
      <c r="C89" s="54" t="s">
        <v>295</v>
      </c>
      <c r="D89" s="140">
        <f>AVERAGE(D86:D88)</f>
        <v>3.9633333333333334</v>
      </c>
      <c r="E89" s="157">
        <f>AVERAGE(E86:E88)</f>
        <v>0.79666666666666652</v>
      </c>
      <c r="F89" s="157">
        <f>AVERAGE(F86:F88)</f>
        <v>16.076666666666664</v>
      </c>
      <c r="G89" s="471"/>
      <c r="O89" s="1" t="s">
        <v>652</v>
      </c>
      <c r="P89" s="1" t="s">
        <v>645</v>
      </c>
    </row>
    <row r="90" spans="1:17" x14ac:dyDescent="0.3">
      <c r="A90" s="3"/>
      <c r="B90" s="297" t="s">
        <v>59</v>
      </c>
      <c r="C90" s="54" t="s">
        <v>501</v>
      </c>
      <c r="D90" s="141">
        <v>14.04</v>
      </c>
      <c r="E90" s="90">
        <f>O90/E84</f>
        <v>36.352941176470594</v>
      </c>
      <c r="F90" s="90">
        <f>I74/F84</f>
        <v>-1.1921824104234526</v>
      </c>
      <c r="G90" s="471"/>
      <c r="O90" s="1">
        <v>-376.98</v>
      </c>
      <c r="P90" s="1">
        <f>363.63+1059.45</f>
        <v>1423.08</v>
      </c>
      <c r="Q90" s="1">
        <v>142308000</v>
      </c>
    </row>
    <row r="91" spans="1:17" x14ac:dyDescent="0.3">
      <c r="A91" s="3"/>
      <c r="B91" s="309"/>
      <c r="C91" s="54" t="s">
        <v>237</v>
      </c>
      <c r="D91" s="135"/>
      <c r="E91" s="88"/>
      <c r="F91" s="88"/>
      <c r="G91" s="471"/>
    </row>
    <row r="92" spans="1:17" x14ac:dyDescent="0.3">
      <c r="A92" s="3"/>
      <c r="B92" s="309"/>
      <c r="C92" s="5" t="s">
        <v>502</v>
      </c>
      <c r="D92" s="135">
        <v>98.83</v>
      </c>
      <c r="E92" s="90">
        <f>O92/E86</f>
        <v>510.06214887640448</v>
      </c>
      <c r="F92" s="90">
        <f>1649.95/F86</f>
        <v>35.255341880341881</v>
      </c>
      <c r="G92" s="471"/>
      <c r="O92" s="58">
        <v>14526.57</v>
      </c>
      <c r="P92" s="1">
        <v>232650.09</v>
      </c>
      <c r="Q92" s="1">
        <v>23265009000</v>
      </c>
    </row>
    <row r="93" spans="1:17" x14ac:dyDescent="0.3">
      <c r="A93" s="3"/>
      <c r="B93" s="309"/>
      <c r="C93" s="5" t="s">
        <v>503</v>
      </c>
      <c r="D93" s="135">
        <v>22.06</v>
      </c>
      <c r="E93" s="90">
        <f>O93/E87</f>
        <v>196.33210784313727</v>
      </c>
      <c r="F93" s="90">
        <f>21.48/F87</f>
        <v>89.5</v>
      </c>
      <c r="G93" s="471"/>
      <c r="O93" s="1">
        <v>-4806.21</v>
      </c>
      <c r="P93" s="1">
        <f>1963.1+4831.55</f>
        <v>6794.65</v>
      </c>
      <c r="Q93" s="1">
        <v>679465000</v>
      </c>
    </row>
    <row r="94" spans="1:17" x14ac:dyDescent="0.3">
      <c r="A94" s="3"/>
      <c r="B94" s="309"/>
      <c r="C94" s="5" t="s">
        <v>504</v>
      </c>
      <c r="D94" s="135">
        <v>47.13</v>
      </c>
      <c r="E94" s="90">
        <f>O94/E88</f>
        <v>114.1055900621118</v>
      </c>
      <c r="F94" s="90">
        <f>16.78/F88</f>
        <v>14.100840336134455</v>
      </c>
      <c r="G94" s="471"/>
      <c r="O94" s="1">
        <v>-183.71</v>
      </c>
      <c r="P94" s="58">
        <v>5450.72</v>
      </c>
      <c r="Q94" s="1">
        <v>545072000</v>
      </c>
    </row>
    <row r="95" spans="1:17" x14ac:dyDescent="0.3">
      <c r="A95" s="3"/>
      <c r="B95" s="298"/>
      <c r="C95" s="54" t="s">
        <v>295</v>
      </c>
      <c r="D95" s="119">
        <v>56.01</v>
      </c>
      <c r="E95" s="157">
        <f>AVERAGE(E92:E94)</f>
        <v>273.49994892721787</v>
      </c>
      <c r="F95" s="157">
        <f>AVERAGE(F92:F94)</f>
        <v>46.285394072158788</v>
      </c>
      <c r="G95" s="471"/>
    </row>
    <row r="96" spans="1:17" x14ac:dyDescent="0.3">
      <c r="A96" s="3"/>
      <c r="B96" s="297" t="s">
        <v>60</v>
      </c>
      <c r="C96" s="54" t="s">
        <v>501</v>
      </c>
      <c r="D96" s="142">
        <v>0.50849999999999995</v>
      </c>
      <c r="E96" s="110">
        <v>-0.26490429209882793</v>
      </c>
      <c r="F96" s="88">
        <v>-30.77</v>
      </c>
      <c r="G96" s="471"/>
      <c r="O96" s="1">
        <v>3636250</v>
      </c>
    </row>
    <row r="97" spans="1:16" x14ac:dyDescent="0.3">
      <c r="A97" s="3"/>
      <c r="B97" s="309"/>
      <c r="C97" s="54" t="s">
        <v>237</v>
      </c>
      <c r="D97" s="5"/>
      <c r="E97" s="88"/>
      <c r="F97" s="88"/>
      <c r="G97" s="471"/>
    </row>
    <row r="98" spans="1:16" x14ac:dyDescent="0.3">
      <c r="A98" s="3"/>
      <c r="B98" s="309"/>
      <c r="C98" s="5" t="s">
        <v>502</v>
      </c>
      <c r="D98" s="126">
        <v>1.6E-2</v>
      </c>
      <c r="E98" s="110">
        <v>6.2439563208421714E-2</v>
      </c>
      <c r="F98" s="110">
        <v>9.2999999999999999E-2</v>
      </c>
      <c r="G98" s="471"/>
      <c r="O98" s="1">
        <v>47437835</v>
      </c>
    </row>
    <row r="99" spans="1:16" x14ac:dyDescent="0.3">
      <c r="A99" s="3"/>
      <c r="B99" s="309"/>
      <c r="C99" s="5" t="s">
        <v>503</v>
      </c>
      <c r="D99" s="126">
        <v>8.2699999999999996E-2</v>
      </c>
      <c r="E99" s="110">
        <v>-0.70735210790842795</v>
      </c>
      <c r="F99" s="110">
        <v>5.8999999999999999E-3</v>
      </c>
      <c r="G99" s="471"/>
      <c r="O99" s="1">
        <v>19631015</v>
      </c>
    </row>
    <row r="100" spans="1:16" ht="29.4" customHeight="1" x14ac:dyDescent="0.3">
      <c r="A100" s="3"/>
      <c r="B100" s="309"/>
      <c r="C100" s="5" t="s">
        <v>504</v>
      </c>
      <c r="D100" s="126">
        <v>1.44E-2</v>
      </c>
      <c r="E100" s="110">
        <v>-3.3703804268060002E-2</v>
      </c>
      <c r="F100" s="110">
        <v>2.4400000000000002E-2</v>
      </c>
      <c r="G100" s="471"/>
      <c r="O100" s="1" t="s">
        <v>689</v>
      </c>
      <c r="P100" s="1">
        <v>34369803</v>
      </c>
    </row>
    <row r="101" spans="1:16" x14ac:dyDescent="0.3">
      <c r="A101" s="3"/>
      <c r="B101" s="298"/>
      <c r="C101" s="54" t="s">
        <v>295</v>
      </c>
      <c r="D101" s="143">
        <f>AVERAGE(D98:D100)</f>
        <v>3.7699999999999997E-2</v>
      </c>
      <c r="E101" s="131">
        <f>AVERAGE(E98:E100)</f>
        <v>-0.22620544965602207</v>
      </c>
      <c r="F101" s="131">
        <f>AVERAGE(F98:F100)</f>
        <v>4.1100000000000005E-2</v>
      </c>
      <c r="G101" s="471"/>
    </row>
    <row r="102" spans="1:16" x14ac:dyDescent="0.3">
      <c r="A102" s="3"/>
      <c r="B102" s="310" t="s">
        <v>61</v>
      </c>
      <c r="C102" s="54" t="s">
        <v>501</v>
      </c>
      <c r="D102" s="135">
        <v>13.87</v>
      </c>
      <c r="E102" s="90">
        <v>39.135922997593674</v>
      </c>
      <c r="F102" s="88">
        <v>29.93</v>
      </c>
      <c r="G102" s="471"/>
    </row>
    <row r="103" spans="1:16" s="2" customFormat="1" x14ac:dyDescent="0.3">
      <c r="A103" s="3"/>
      <c r="B103" s="310"/>
      <c r="C103" s="54" t="s">
        <v>237</v>
      </c>
      <c r="D103" s="135"/>
      <c r="E103" s="88"/>
      <c r="F103" s="88"/>
      <c r="G103" s="471"/>
      <c r="H103" s="1"/>
      <c r="I103" s="1"/>
      <c r="J103" s="1"/>
      <c r="K103" s="1"/>
      <c r="L103" s="1"/>
      <c r="M103" s="1"/>
      <c r="N103" s="1"/>
    </row>
    <row r="104" spans="1:16" ht="20.25" customHeight="1" x14ac:dyDescent="0.3">
      <c r="A104" s="3"/>
      <c r="B104" s="310"/>
      <c r="C104" s="5" t="s">
        <v>502</v>
      </c>
      <c r="D104" s="135">
        <v>454.48</v>
      </c>
      <c r="E104" s="90">
        <v>490.43150894217666</v>
      </c>
      <c r="F104" s="90">
        <v>546.9</v>
      </c>
      <c r="G104" s="471"/>
    </row>
    <row r="105" spans="1:16" x14ac:dyDescent="0.3">
      <c r="A105" s="3"/>
      <c r="B105" s="310"/>
      <c r="C105" s="5" t="s">
        <v>503</v>
      </c>
      <c r="D105" s="135">
        <v>50.32</v>
      </c>
      <c r="E105" s="90">
        <v>34.611811972024881</v>
      </c>
      <c r="F105" s="88">
        <v>40.94</v>
      </c>
      <c r="G105" s="471"/>
    </row>
    <row r="106" spans="1:16" x14ac:dyDescent="0.3">
      <c r="A106" s="3"/>
      <c r="B106" s="310"/>
      <c r="C106" s="5" t="s">
        <v>504</v>
      </c>
      <c r="D106" s="135">
        <v>31.47</v>
      </c>
      <c r="E106" s="90">
        <v>15.859037655816648</v>
      </c>
      <c r="F106" s="88">
        <v>16.260000000000002</v>
      </c>
      <c r="G106" s="471"/>
    </row>
    <row r="107" spans="1:16" x14ac:dyDescent="0.35">
      <c r="A107" s="3"/>
      <c r="B107" s="310"/>
      <c r="C107" s="54" t="s">
        <v>295</v>
      </c>
      <c r="D107" s="144">
        <f>AVERAGE(D104:D106)</f>
        <v>178.75666666666666</v>
      </c>
      <c r="E107" s="157">
        <f>AVERAGE(E104:E106)</f>
        <v>180.30078619000608</v>
      </c>
      <c r="F107" s="157">
        <f>AVERAGE(F104:F106)</f>
        <v>201.36666666666665</v>
      </c>
      <c r="G107" s="472"/>
    </row>
    <row r="108" spans="1:16" ht="20.25" customHeight="1" x14ac:dyDescent="0.3">
      <c r="A108" s="3"/>
      <c r="B108" s="301"/>
      <c r="C108" s="302"/>
      <c r="D108" s="302"/>
      <c r="E108" s="302"/>
      <c r="F108" s="302"/>
      <c r="G108" s="303"/>
    </row>
    <row r="109" spans="1:16" x14ac:dyDescent="0.3">
      <c r="A109" s="2"/>
      <c r="B109" s="253" t="s">
        <v>82</v>
      </c>
      <c r="C109" s="270"/>
      <c r="D109" s="270"/>
      <c r="E109" s="270"/>
      <c r="F109" s="270"/>
      <c r="G109" s="254"/>
      <c r="H109" s="2"/>
      <c r="I109" s="2"/>
      <c r="J109" s="2"/>
      <c r="K109" s="2"/>
      <c r="L109" s="2"/>
      <c r="M109" s="2"/>
      <c r="N109" s="2"/>
    </row>
    <row r="110" spans="1:16" ht="46.2" customHeight="1" x14ac:dyDescent="0.3">
      <c r="A110" s="3"/>
      <c r="B110" s="253" t="s">
        <v>564</v>
      </c>
      <c r="C110" s="270"/>
      <c r="D110" s="270"/>
      <c r="E110" s="270"/>
      <c r="F110" s="270"/>
      <c r="G110" s="254"/>
    </row>
    <row r="111" spans="1:16" x14ac:dyDescent="0.3">
      <c r="C111" s="402"/>
      <c r="D111" s="402"/>
      <c r="E111" s="402"/>
      <c r="F111" s="402"/>
      <c r="G111" s="402"/>
    </row>
    <row r="112" spans="1:16" x14ac:dyDescent="0.3">
      <c r="A112" s="3">
        <v>14</v>
      </c>
      <c r="B112" s="54" t="s">
        <v>63</v>
      </c>
      <c r="C112" s="307" t="s">
        <v>50</v>
      </c>
      <c r="D112" s="308"/>
      <c r="E112" s="308"/>
      <c r="F112" s="308"/>
      <c r="G112" s="249"/>
    </row>
    <row r="113" spans="2:8" x14ac:dyDescent="0.3">
      <c r="C113" s="55"/>
      <c r="D113" s="55"/>
      <c r="E113" s="55"/>
      <c r="F113" s="55"/>
      <c r="G113" s="55"/>
    </row>
    <row r="114" spans="2:8" x14ac:dyDescent="0.3">
      <c r="B114" s="299" t="s">
        <v>632</v>
      </c>
      <c r="C114" s="299"/>
      <c r="D114" s="299"/>
      <c r="E114" s="299"/>
      <c r="F114" s="299"/>
      <c r="G114" s="299"/>
      <c r="H114" s="299"/>
    </row>
  </sheetData>
  <mergeCells count="64">
    <mergeCell ref="B109:G109"/>
    <mergeCell ref="B110:G110"/>
    <mergeCell ref="C111:G111"/>
    <mergeCell ref="C112:G112"/>
    <mergeCell ref="B114:H114"/>
    <mergeCell ref="B56:E56"/>
    <mergeCell ref="B59:E59"/>
    <mergeCell ref="B60:B61"/>
    <mergeCell ref="C60:E61"/>
    <mergeCell ref="C63:E63"/>
    <mergeCell ref="C62:E62"/>
    <mergeCell ref="C20:E20"/>
    <mergeCell ref="A1:B1"/>
    <mergeCell ref="C3:E3"/>
    <mergeCell ref="C5:E5"/>
    <mergeCell ref="B6:D6"/>
    <mergeCell ref="B9:D9"/>
    <mergeCell ref="C11:E11"/>
    <mergeCell ref="B12:D12"/>
    <mergeCell ref="C14:E14"/>
    <mergeCell ref="B15:D15"/>
    <mergeCell ref="B17:C17"/>
    <mergeCell ref="B19:E19"/>
    <mergeCell ref="B39:D39"/>
    <mergeCell ref="C21:E21"/>
    <mergeCell ref="C22:E22"/>
    <mergeCell ref="C23:E23"/>
    <mergeCell ref="C24:E24"/>
    <mergeCell ref="B26:E26"/>
    <mergeCell ref="B27:E27"/>
    <mergeCell ref="E29:E32"/>
    <mergeCell ref="B33:E33"/>
    <mergeCell ref="B35:E35"/>
    <mergeCell ref="B41:E41"/>
    <mergeCell ref="C42:E42"/>
    <mergeCell ref="B53:E53"/>
    <mergeCell ref="B43:B49"/>
    <mergeCell ref="C43:E49"/>
    <mergeCell ref="C50:E50"/>
    <mergeCell ref="B51:E51"/>
    <mergeCell ref="B64:E64"/>
    <mergeCell ref="C66:E66"/>
    <mergeCell ref="C67:E67"/>
    <mergeCell ref="F72:H72"/>
    <mergeCell ref="I72:K72"/>
    <mergeCell ref="C68:E68"/>
    <mergeCell ref="B72:B73"/>
    <mergeCell ref="C72:C73"/>
    <mergeCell ref="D72:D73"/>
    <mergeCell ref="E72:E73"/>
    <mergeCell ref="B108:G108"/>
    <mergeCell ref="L72:N72"/>
    <mergeCell ref="L74:N75"/>
    <mergeCell ref="B90:B95"/>
    <mergeCell ref="B96:B101"/>
    <mergeCell ref="B84:B89"/>
    <mergeCell ref="B81:G81"/>
    <mergeCell ref="G84:G107"/>
    <mergeCell ref="B102:B107"/>
    <mergeCell ref="B76:N76"/>
    <mergeCell ref="B77:F77"/>
    <mergeCell ref="B78:F78"/>
    <mergeCell ref="B79:F79"/>
    <mergeCell ref="B80:C80"/>
  </mergeCells>
  <pageMargins left="0.70866141732283472" right="0.70866141732283472" top="0.74803149606299213" bottom="0.74803149606299213" header="0.31496062992125984" footer="0.31496062992125984"/>
  <pageSetup paperSize="9" scale="25" fitToWidth="70" fitToHeight="2" orientation="landscape" r:id="rId1"/>
  <rowBreaks count="1" manualBreakCount="1">
    <brk id="58"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2AAD4-9F69-49AD-993F-1024E0C04A31}">
  <dimension ref="A1:N105"/>
  <sheetViews>
    <sheetView view="pageBreakPreview" topLeftCell="A19" zoomScale="37" zoomScaleNormal="76" zoomScaleSheetLayoutView="71" workbookViewId="0">
      <selection activeCell="D91" sqref="D91"/>
    </sheetView>
  </sheetViews>
  <sheetFormatPr defaultColWidth="8.6640625" defaultRowHeight="14.4" x14ac:dyDescent="0.3"/>
  <cols>
    <col min="2" max="2" width="58.33203125" customWidth="1"/>
    <col min="3" max="3" width="81" customWidth="1"/>
    <col min="4" max="4" width="73.109375" customWidth="1"/>
    <col min="5" max="5" width="27.6640625" customWidth="1"/>
    <col min="6" max="6" width="19.88671875" bestFit="1" customWidth="1"/>
    <col min="7" max="7" width="12" customWidth="1"/>
    <col min="8" max="8" width="22.6640625" customWidth="1"/>
    <col min="9" max="10" width="14.77734375" bestFit="1" customWidth="1"/>
    <col min="11" max="11" width="14.21875" bestFit="1" customWidth="1"/>
  </cols>
  <sheetData>
    <row r="1" spans="1:14" ht="20.25" customHeight="1" x14ac:dyDescent="0.3">
      <c r="A1" s="246" t="s">
        <v>0</v>
      </c>
      <c r="B1" s="246"/>
      <c r="C1" s="1"/>
      <c r="D1" s="2"/>
      <c r="E1" s="1"/>
      <c r="F1" s="1"/>
      <c r="G1" s="1"/>
      <c r="H1" s="1"/>
      <c r="I1" s="1"/>
      <c r="J1" s="1"/>
      <c r="K1" s="1"/>
      <c r="L1" s="1"/>
      <c r="M1" s="1"/>
      <c r="N1" s="1"/>
    </row>
    <row r="2" spans="1:14" ht="21" x14ac:dyDescent="0.3">
      <c r="A2" s="1"/>
      <c r="B2" s="1"/>
      <c r="C2" s="1"/>
      <c r="D2" s="1"/>
      <c r="E2" s="1"/>
      <c r="F2" s="1"/>
      <c r="G2" s="1"/>
      <c r="H2" s="1"/>
      <c r="I2" s="1"/>
      <c r="J2" s="1"/>
      <c r="K2" s="1"/>
      <c r="L2" s="1"/>
      <c r="M2" s="1"/>
      <c r="N2" s="1"/>
    </row>
    <row r="3" spans="1:14" ht="40.799999999999997" x14ac:dyDescent="0.3">
      <c r="A3" s="3" t="s">
        <v>1</v>
      </c>
      <c r="B3" s="54" t="s">
        <v>2</v>
      </c>
      <c r="C3" s="300" t="s">
        <v>483</v>
      </c>
      <c r="D3" s="300"/>
      <c r="E3" s="300"/>
      <c r="F3" s="1"/>
      <c r="G3" s="1"/>
      <c r="H3" s="1"/>
      <c r="I3" s="1"/>
      <c r="J3" s="1"/>
      <c r="K3" s="1"/>
      <c r="L3" s="1"/>
      <c r="M3" s="1"/>
      <c r="N3" s="1"/>
    </row>
    <row r="4" spans="1:14" ht="21" x14ac:dyDescent="0.3">
      <c r="A4" s="1"/>
      <c r="B4" s="1"/>
      <c r="C4" s="1"/>
      <c r="D4" s="22"/>
      <c r="E4" s="1"/>
      <c r="F4" s="1"/>
      <c r="G4" s="1"/>
      <c r="H4" s="1"/>
      <c r="I4" s="1"/>
      <c r="J4" s="1"/>
      <c r="K4" s="1"/>
      <c r="L4" s="1"/>
      <c r="M4" s="1"/>
      <c r="N4" s="1"/>
    </row>
    <row r="5" spans="1:14" ht="21" x14ac:dyDescent="0.3">
      <c r="A5" s="62">
        <v>1</v>
      </c>
      <c r="B5" s="63" t="s">
        <v>3</v>
      </c>
      <c r="C5" s="247" t="s">
        <v>132</v>
      </c>
      <c r="D5" s="248"/>
      <c r="E5" s="249"/>
      <c r="F5" s="1"/>
      <c r="G5" s="1"/>
      <c r="H5" s="1"/>
      <c r="I5" s="1"/>
      <c r="J5" s="1"/>
      <c r="K5" s="1"/>
      <c r="L5" s="1"/>
      <c r="M5" s="1"/>
      <c r="N5" s="1"/>
    </row>
    <row r="6" spans="1:14" ht="21" x14ac:dyDescent="0.3">
      <c r="A6" s="3"/>
      <c r="B6" s="250" t="s">
        <v>4</v>
      </c>
      <c r="C6" s="251"/>
      <c r="D6" s="252"/>
      <c r="E6" s="10"/>
      <c r="F6" s="1"/>
      <c r="G6" s="1"/>
      <c r="H6" s="1"/>
      <c r="I6" s="1"/>
      <c r="J6" s="1"/>
      <c r="K6" s="1"/>
      <c r="L6" s="1"/>
      <c r="M6" s="1"/>
      <c r="N6" s="1"/>
    </row>
    <row r="7" spans="1:14" ht="21" x14ac:dyDescent="0.3">
      <c r="A7" s="3"/>
      <c r="B7" s="2"/>
      <c r="C7" s="1"/>
      <c r="D7" s="22"/>
      <c r="E7" s="1"/>
      <c r="F7" s="1"/>
      <c r="G7" s="1"/>
      <c r="H7" s="1"/>
      <c r="I7" s="1"/>
      <c r="J7" s="1"/>
      <c r="K7" s="1"/>
      <c r="L7" s="1"/>
      <c r="M7" s="1"/>
      <c r="N7" s="1"/>
    </row>
    <row r="8" spans="1:14" ht="21" x14ac:dyDescent="0.3">
      <c r="A8" s="3">
        <v>2</v>
      </c>
      <c r="B8" s="63" t="s">
        <v>5</v>
      </c>
      <c r="C8" s="12" t="s">
        <v>818</v>
      </c>
      <c r="D8" s="22"/>
      <c r="E8" s="1"/>
      <c r="F8" s="1"/>
      <c r="G8" s="1"/>
      <c r="H8" s="1"/>
      <c r="I8" s="1"/>
      <c r="J8" s="1"/>
      <c r="K8" s="1"/>
      <c r="L8" s="1"/>
      <c r="M8" s="1"/>
      <c r="N8" s="1"/>
    </row>
    <row r="9" spans="1:14" ht="21" x14ac:dyDescent="0.3">
      <c r="A9" s="3"/>
      <c r="B9" s="250" t="s">
        <v>4</v>
      </c>
      <c r="C9" s="251"/>
      <c r="D9" s="252"/>
      <c r="E9" s="1"/>
      <c r="F9" s="1"/>
      <c r="G9" s="1"/>
      <c r="H9" s="1"/>
      <c r="I9" s="1"/>
      <c r="J9" s="1"/>
      <c r="K9" s="1"/>
      <c r="L9" s="1"/>
      <c r="M9" s="1"/>
      <c r="N9" s="1"/>
    </row>
    <row r="10" spans="1:14" ht="21" x14ac:dyDescent="0.3">
      <c r="A10" s="3"/>
      <c r="B10" s="2"/>
      <c r="C10" s="1"/>
      <c r="D10" s="22"/>
      <c r="E10" s="1"/>
      <c r="F10" s="1"/>
      <c r="G10" s="1"/>
      <c r="H10" s="1"/>
      <c r="I10" s="1"/>
      <c r="J10" s="1"/>
      <c r="K10" s="1"/>
      <c r="L10" s="1"/>
      <c r="M10" s="1"/>
      <c r="N10" s="1"/>
    </row>
    <row r="11" spans="1:14" ht="40.950000000000003" customHeight="1" x14ac:dyDescent="0.3">
      <c r="A11" s="3">
        <v>3</v>
      </c>
      <c r="B11" s="63" t="s">
        <v>6</v>
      </c>
      <c r="C11" s="247" t="s">
        <v>90</v>
      </c>
      <c r="D11" s="248"/>
      <c r="E11" s="249"/>
      <c r="F11" s="1"/>
      <c r="G11" s="1"/>
      <c r="H11" s="1"/>
      <c r="I11" s="1"/>
      <c r="J11" s="1"/>
      <c r="K11" s="1"/>
      <c r="L11" s="1"/>
      <c r="M11" s="1"/>
      <c r="N11" s="1"/>
    </row>
    <row r="12" spans="1:14" ht="21" x14ac:dyDescent="0.3">
      <c r="A12" s="3"/>
      <c r="B12" s="250" t="s">
        <v>4</v>
      </c>
      <c r="C12" s="251"/>
      <c r="D12" s="252"/>
      <c r="E12" s="10"/>
      <c r="F12" s="1"/>
      <c r="G12" s="1"/>
      <c r="H12" s="1"/>
      <c r="I12" s="1"/>
      <c r="J12" s="1"/>
      <c r="K12" s="1"/>
      <c r="L12" s="1"/>
      <c r="M12" s="1"/>
      <c r="N12" s="1"/>
    </row>
    <row r="13" spans="1:14" ht="21" x14ac:dyDescent="0.3">
      <c r="A13" s="3"/>
      <c r="B13" s="2"/>
      <c r="C13" s="1"/>
      <c r="D13" s="22"/>
      <c r="E13" s="1"/>
      <c r="F13" s="1"/>
      <c r="G13" s="1"/>
      <c r="H13" s="1"/>
      <c r="I13" s="1"/>
      <c r="J13" s="1"/>
      <c r="K13" s="1"/>
      <c r="L13" s="1"/>
      <c r="M13" s="1"/>
      <c r="N13" s="1"/>
    </row>
    <row r="14" spans="1:14" ht="21" x14ac:dyDescent="0.3">
      <c r="A14" s="3">
        <v>4</v>
      </c>
      <c r="B14" s="54" t="s">
        <v>92</v>
      </c>
      <c r="C14" s="247" t="s">
        <v>90</v>
      </c>
      <c r="D14" s="248"/>
      <c r="E14" s="249"/>
      <c r="F14" s="1"/>
      <c r="G14" s="1"/>
      <c r="H14" s="1"/>
      <c r="I14" s="1"/>
      <c r="J14" s="1"/>
      <c r="K14" s="1"/>
      <c r="L14" s="1"/>
      <c r="M14" s="1"/>
      <c r="N14" s="1"/>
    </row>
    <row r="15" spans="1:14" ht="21" x14ac:dyDescent="0.3">
      <c r="A15" s="3"/>
      <c r="B15" s="250" t="s">
        <v>4</v>
      </c>
      <c r="C15" s="251"/>
      <c r="D15" s="252"/>
      <c r="E15" s="1"/>
      <c r="F15" s="1"/>
      <c r="G15" s="1"/>
      <c r="H15" s="1"/>
      <c r="I15" s="1"/>
      <c r="J15" s="1"/>
      <c r="K15" s="1"/>
      <c r="L15" s="1"/>
      <c r="M15" s="1"/>
      <c r="N15" s="1"/>
    </row>
    <row r="16" spans="1:14" ht="21" x14ac:dyDescent="0.3">
      <c r="A16" s="3">
        <v>4</v>
      </c>
      <c r="B16" s="54" t="s">
        <v>7</v>
      </c>
      <c r="C16" s="5" t="s">
        <v>484</v>
      </c>
      <c r="D16" s="22"/>
      <c r="E16" s="1"/>
      <c r="F16" s="1"/>
      <c r="G16" s="1"/>
      <c r="H16" s="1"/>
      <c r="I16" s="1"/>
      <c r="J16" s="1"/>
      <c r="K16" s="1"/>
      <c r="L16" s="1"/>
      <c r="M16" s="1"/>
      <c r="N16" s="1"/>
    </row>
    <row r="17" spans="1:14" ht="21" x14ac:dyDescent="0.3">
      <c r="A17" s="3"/>
      <c r="B17" s="253" t="s">
        <v>8</v>
      </c>
      <c r="C17" s="254"/>
      <c r="D17" s="22"/>
      <c r="E17" s="1"/>
      <c r="F17" s="1"/>
      <c r="G17" s="1"/>
      <c r="H17" s="1"/>
      <c r="I17" s="1"/>
      <c r="J17" s="1"/>
      <c r="K17" s="1"/>
      <c r="L17" s="1"/>
      <c r="M17" s="1"/>
      <c r="N17" s="1"/>
    </row>
    <row r="18" spans="1:14" ht="21" x14ac:dyDescent="0.3">
      <c r="A18" s="3"/>
      <c r="B18" s="1"/>
      <c r="C18" s="1"/>
      <c r="D18" s="22"/>
      <c r="E18" s="1"/>
      <c r="F18" s="1"/>
      <c r="G18" s="1"/>
      <c r="H18" s="1"/>
      <c r="I18" s="1"/>
      <c r="J18" s="1"/>
      <c r="K18" s="1"/>
      <c r="L18" s="1"/>
      <c r="M18" s="1"/>
      <c r="N18" s="1"/>
    </row>
    <row r="19" spans="1:14" ht="21" x14ac:dyDescent="0.3">
      <c r="A19" s="3">
        <v>5</v>
      </c>
      <c r="B19" s="255" t="s">
        <v>9</v>
      </c>
      <c r="C19" s="256"/>
      <c r="D19" s="256"/>
      <c r="E19" s="257"/>
      <c r="F19" s="2"/>
      <c r="G19" s="2"/>
      <c r="H19" s="2"/>
      <c r="I19" s="2"/>
      <c r="J19" s="10"/>
      <c r="K19" s="10"/>
      <c r="L19" s="10"/>
      <c r="M19" s="10"/>
      <c r="N19" s="10"/>
    </row>
    <row r="20" spans="1:14" ht="21" x14ac:dyDescent="0.3">
      <c r="A20" s="3"/>
      <c r="B20" s="65" t="s">
        <v>10</v>
      </c>
      <c r="C20" s="243">
        <v>4.1000000000000003E-3</v>
      </c>
      <c r="D20" s="244"/>
      <c r="E20" s="245"/>
      <c r="F20" s="66"/>
      <c r="G20" s="10"/>
      <c r="H20" s="10"/>
      <c r="I20" s="10"/>
      <c r="J20" s="10"/>
      <c r="K20" s="10"/>
      <c r="L20" s="10"/>
      <c r="M20" s="10"/>
      <c r="N20" s="10"/>
    </row>
    <row r="21" spans="1:14" ht="61.2" x14ac:dyDescent="0.3">
      <c r="A21" s="3"/>
      <c r="B21" s="65" t="s">
        <v>473</v>
      </c>
      <c r="C21" s="243" t="s">
        <v>493</v>
      </c>
      <c r="D21" s="244"/>
      <c r="E21" s="245"/>
      <c r="F21" s="66"/>
      <c r="G21" s="10"/>
      <c r="H21" s="1"/>
      <c r="I21" s="10"/>
      <c r="J21" s="10"/>
      <c r="K21" s="10"/>
      <c r="L21" s="10"/>
      <c r="M21" s="10"/>
      <c r="N21" s="10"/>
    </row>
    <row r="22" spans="1:14" ht="21" x14ac:dyDescent="0.3">
      <c r="A22" s="3"/>
      <c r="B22" s="65" t="s">
        <v>474</v>
      </c>
      <c r="C22" s="438" t="s">
        <v>11</v>
      </c>
      <c r="D22" s="439"/>
      <c r="E22" s="440"/>
      <c r="F22" s="66"/>
      <c r="G22" s="10"/>
      <c r="H22" s="10"/>
      <c r="I22" s="10"/>
      <c r="J22" s="10"/>
      <c r="K22" s="10"/>
      <c r="L22" s="10"/>
      <c r="M22" s="10"/>
      <c r="N22" s="10"/>
    </row>
    <row r="23" spans="1:14" ht="21" x14ac:dyDescent="0.3">
      <c r="A23" s="3"/>
      <c r="B23" s="64" t="s">
        <v>475</v>
      </c>
      <c r="C23" s="438" t="s">
        <v>11</v>
      </c>
      <c r="D23" s="439"/>
      <c r="E23" s="440"/>
      <c r="F23" s="66"/>
      <c r="G23" s="10"/>
      <c r="H23" s="10"/>
      <c r="I23" s="10"/>
      <c r="J23" s="10"/>
      <c r="K23" s="10"/>
      <c r="L23" s="10"/>
      <c r="M23" s="10"/>
      <c r="N23" s="10"/>
    </row>
    <row r="24" spans="1:14" ht="21" x14ac:dyDescent="0.3">
      <c r="A24" s="3"/>
      <c r="B24" s="67" t="s">
        <v>476</v>
      </c>
      <c r="C24" s="401" t="s">
        <v>15</v>
      </c>
      <c r="D24" s="401"/>
      <c r="E24" s="401"/>
      <c r="F24" s="66"/>
      <c r="G24" s="10"/>
      <c r="H24" s="10"/>
      <c r="I24" s="10"/>
      <c r="J24" s="10"/>
      <c r="K24" s="10"/>
      <c r="L24" s="10"/>
      <c r="M24" s="10"/>
      <c r="N24" s="10"/>
    </row>
    <row r="25" spans="1:14" ht="21" x14ac:dyDescent="0.3">
      <c r="A25" s="3"/>
      <c r="B25" s="66" t="s">
        <v>347</v>
      </c>
      <c r="C25" s="66"/>
      <c r="D25" s="66"/>
      <c r="E25" s="66"/>
      <c r="F25" s="66"/>
      <c r="G25" s="10"/>
      <c r="H25" s="10"/>
      <c r="I25" s="10"/>
      <c r="J25" s="10"/>
      <c r="K25" s="10"/>
      <c r="L25" s="10"/>
      <c r="M25" s="10"/>
      <c r="N25" s="10"/>
    </row>
    <row r="26" spans="1:14" ht="21" x14ac:dyDescent="0.3">
      <c r="A26" s="3">
        <v>6</v>
      </c>
      <c r="B26" s="261" t="s">
        <v>74</v>
      </c>
      <c r="C26" s="262"/>
      <c r="D26" s="262"/>
      <c r="E26" s="263"/>
      <c r="F26" s="2"/>
      <c r="G26" s="2"/>
      <c r="H26" s="10"/>
      <c r="I26" s="2"/>
      <c r="J26" s="2"/>
      <c r="K26" s="1"/>
      <c r="L26" s="1"/>
      <c r="M26" s="1"/>
      <c r="N26" s="1"/>
    </row>
    <row r="27" spans="1:14" ht="21" x14ac:dyDescent="0.3">
      <c r="A27" s="3"/>
      <c r="B27" s="264" t="s">
        <v>17</v>
      </c>
      <c r="C27" s="265"/>
      <c r="D27" s="265"/>
      <c r="E27" s="266"/>
      <c r="F27" s="66"/>
      <c r="G27" s="1"/>
      <c r="H27" s="1"/>
      <c r="I27" s="1"/>
      <c r="J27" s="1"/>
      <c r="K27" s="1"/>
      <c r="L27" s="1"/>
      <c r="M27" s="1"/>
      <c r="N27" s="1"/>
    </row>
    <row r="28" spans="1:14" ht="21" x14ac:dyDescent="0.3">
      <c r="A28" s="3"/>
      <c r="B28" s="67" t="s">
        <v>18</v>
      </c>
      <c r="C28" s="25" t="s">
        <v>477</v>
      </c>
      <c r="D28" s="25" t="s">
        <v>478</v>
      </c>
      <c r="E28" s="25" t="s">
        <v>479</v>
      </c>
      <c r="F28" s="66"/>
      <c r="G28" s="1"/>
      <c r="H28" s="1"/>
      <c r="I28" s="1"/>
      <c r="J28" s="1"/>
      <c r="K28" s="1"/>
      <c r="L28" s="1"/>
      <c r="M28" s="1"/>
      <c r="N28" s="1"/>
    </row>
    <row r="29" spans="1:14" ht="20.7" customHeight="1" x14ac:dyDescent="0.3">
      <c r="A29" s="3"/>
      <c r="B29" s="68" t="s">
        <v>21</v>
      </c>
      <c r="C29" s="27">
        <v>1018.35</v>
      </c>
      <c r="D29" s="27">
        <v>1442.36</v>
      </c>
      <c r="E29" s="267" t="s">
        <v>22</v>
      </c>
      <c r="F29" s="66"/>
      <c r="G29" s="1"/>
      <c r="H29" s="1"/>
      <c r="I29" s="1"/>
      <c r="J29" s="1"/>
      <c r="K29" s="1"/>
      <c r="L29" s="1"/>
      <c r="M29" s="1"/>
      <c r="N29" s="1"/>
    </row>
    <row r="30" spans="1:14" ht="21" x14ac:dyDescent="0.3">
      <c r="A30" s="3"/>
      <c r="B30" s="68" t="s">
        <v>23</v>
      </c>
      <c r="C30" s="27">
        <v>8.2799999999999994</v>
      </c>
      <c r="D30" s="27">
        <v>11.35</v>
      </c>
      <c r="E30" s="268"/>
      <c r="F30" s="66"/>
      <c r="G30" s="1"/>
      <c r="H30" s="1"/>
      <c r="I30" s="1"/>
      <c r="J30" s="1"/>
      <c r="K30" s="1"/>
      <c r="L30" s="1"/>
      <c r="M30" s="1"/>
      <c r="N30" s="1"/>
    </row>
    <row r="31" spans="1:14" ht="21" x14ac:dyDescent="0.3">
      <c r="A31" s="3"/>
      <c r="B31" s="68" t="s">
        <v>24</v>
      </c>
      <c r="C31" s="27">
        <v>686.99</v>
      </c>
      <c r="D31" s="27">
        <v>686.99</v>
      </c>
      <c r="E31" s="268"/>
      <c r="F31" s="66"/>
      <c r="G31" s="1"/>
      <c r="H31" s="194"/>
      <c r="I31" s="1"/>
      <c r="J31" s="1"/>
      <c r="K31" s="1"/>
      <c r="L31" s="1"/>
      <c r="M31" s="1"/>
      <c r="N31" s="1"/>
    </row>
    <row r="32" spans="1:14" ht="21" x14ac:dyDescent="0.3">
      <c r="A32" s="3"/>
      <c r="B32" s="68" t="s">
        <v>25</v>
      </c>
      <c r="C32" s="27">
        <v>704.96</v>
      </c>
      <c r="D32" s="50">
        <v>632.29999999999995</v>
      </c>
      <c r="E32" s="269"/>
      <c r="F32" s="66"/>
      <c r="G32" s="1"/>
      <c r="H32" s="1"/>
      <c r="I32" s="1"/>
      <c r="J32" s="1"/>
      <c r="K32" s="1"/>
      <c r="L32" s="1"/>
      <c r="M32" s="1"/>
      <c r="N32" s="1"/>
    </row>
    <row r="33" spans="1:14" ht="21" x14ac:dyDescent="0.3">
      <c r="A33" s="3"/>
      <c r="B33" s="253" t="s">
        <v>193</v>
      </c>
      <c r="C33" s="270"/>
      <c r="D33" s="270"/>
      <c r="E33" s="254"/>
      <c r="F33" s="66"/>
      <c r="G33" s="1"/>
      <c r="H33" s="1"/>
      <c r="I33" s="1"/>
      <c r="J33" s="1"/>
      <c r="K33" s="1"/>
      <c r="L33" s="1"/>
      <c r="M33" s="1"/>
      <c r="N33" s="1"/>
    </row>
    <row r="34" spans="1:14" ht="21" x14ac:dyDescent="0.3">
      <c r="A34" s="3"/>
      <c r="B34" s="10"/>
      <c r="C34" s="66"/>
      <c r="D34" s="66"/>
      <c r="E34" s="66"/>
      <c r="F34" s="66"/>
      <c r="G34" s="1"/>
      <c r="H34" s="1"/>
      <c r="I34" s="1"/>
      <c r="J34" s="1"/>
      <c r="K34" s="1"/>
      <c r="L34" s="1"/>
      <c r="M34" s="1"/>
      <c r="N34" s="1"/>
    </row>
    <row r="35" spans="1:14" ht="41.7" customHeight="1" x14ac:dyDescent="0.3">
      <c r="A35" s="3">
        <v>7</v>
      </c>
      <c r="B35" s="261" t="s">
        <v>26</v>
      </c>
      <c r="C35" s="262"/>
      <c r="D35" s="262"/>
      <c r="E35" s="263"/>
      <c r="F35" s="2"/>
      <c r="G35" s="2"/>
      <c r="H35" s="2"/>
      <c r="I35" s="2"/>
      <c r="J35" s="2"/>
      <c r="K35" s="1"/>
      <c r="L35" s="1"/>
      <c r="M35" s="1"/>
      <c r="N35" s="1"/>
    </row>
    <row r="36" spans="1:14" ht="21" x14ac:dyDescent="0.3">
      <c r="A36" s="3"/>
      <c r="B36" s="67" t="s">
        <v>247</v>
      </c>
      <c r="C36" s="27" t="s">
        <v>75</v>
      </c>
      <c r="D36" s="5"/>
      <c r="E36" s="5"/>
      <c r="F36" s="10"/>
      <c r="G36" s="1"/>
      <c r="H36" s="1"/>
      <c r="I36" s="1"/>
      <c r="J36" s="1"/>
      <c r="K36" s="1"/>
      <c r="L36" s="1"/>
      <c r="M36" s="1"/>
      <c r="N36" s="1"/>
    </row>
    <row r="37" spans="1:14" ht="21" x14ac:dyDescent="0.3">
      <c r="A37" s="3"/>
      <c r="B37" s="67" t="s">
        <v>28</v>
      </c>
      <c r="C37" s="27" t="s">
        <v>75</v>
      </c>
      <c r="D37" s="10"/>
      <c r="E37" s="10"/>
      <c r="F37" s="10"/>
      <c r="G37" s="1"/>
      <c r="H37" s="1"/>
      <c r="I37" s="1"/>
      <c r="J37" s="1"/>
      <c r="K37" s="1"/>
      <c r="L37" s="1"/>
      <c r="M37" s="1"/>
      <c r="N37" s="1"/>
    </row>
    <row r="38" spans="1:14" ht="21" x14ac:dyDescent="0.3">
      <c r="A38" s="3"/>
      <c r="B38" s="67" t="s">
        <v>29</v>
      </c>
      <c r="C38" s="27" t="s">
        <v>15</v>
      </c>
      <c r="D38" s="10"/>
      <c r="E38" s="10"/>
      <c r="F38" s="10"/>
      <c r="G38" s="1"/>
      <c r="H38" s="1"/>
      <c r="I38" s="1"/>
      <c r="J38" s="1"/>
      <c r="K38" s="1"/>
      <c r="L38" s="1"/>
      <c r="M38" s="1"/>
      <c r="N38" s="1"/>
    </row>
    <row r="39" spans="1:14" ht="42" customHeight="1" x14ac:dyDescent="0.3">
      <c r="A39" s="3"/>
      <c r="B39" s="271" t="s">
        <v>515</v>
      </c>
      <c r="C39" s="271"/>
      <c r="D39" s="271"/>
      <c r="E39" s="10"/>
      <c r="F39" s="10"/>
      <c r="G39" s="1"/>
      <c r="H39" s="1"/>
      <c r="I39" s="1"/>
      <c r="J39" s="1"/>
      <c r="K39" s="1"/>
      <c r="L39" s="1"/>
      <c r="M39" s="1"/>
      <c r="N39" s="1"/>
    </row>
    <row r="40" spans="1:14" ht="21" x14ac:dyDescent="0.3">
      <c r="A40" s="3"/>
      <c r="B40" s="66"/>
      <c r="C40" s="10"/>
      <c r="D40" s="10"/>
      <c r="E40" s="10"/>
      <c r="F40" s="10"/>
      <c r="G40" s="1"/>
      <c r="H40" s="1"/>
      <c r="I40" s="1"/>
      <c r="J40" s="1"/>
      <c r="K40" s="1"/>
      <c r="L40" s="1"/>
      <c r="M40" s="1"/>
      <c r="N40" s="1"/>
    </row>
    <row r="41" spans="1:14" ht="21" x14ac:dyDescent="0.3">
      <c r="A41" s="3">
        <v>8</v>
      </c>
      <c r="B41" s="261" t="s">
        <v>30</v>
      </c>
      <c r="C41" s="262"/>
      <c r="D41" s="262"/>
      <c r="E41" s="263"/>
      <c r="F41" s="2"/>
      <c r="G41" s="2"/>
      <c r="H41" s="2"/>
      <c r="I41" s="2"/>
      <c r="J41" s="2"/>
      <c r="K41" s="1"/>
      <c r="L41" s="1"/>
      <c r="M41" s="1"/>
      <c r="N41" s="1"/>
    </row>
    <row r="42" spans="1:14" ht="48" customHeight="1" x14ac:dyDescent="0.3">
      <c r="A42" s="3"/>
      <c r="B42" s="67" t="s">
        <v>31</v>
      </c>
      <c r="C42" s="258" t="s">
        <v>720</v>
      </c>
      <c r="D42" s="259"/>
      <c r="E42" s="260"/>
      <c r="F42" s="10"/>
      <c r="G42" s="1"/>
      <c r="H42" s="1"/>
      <c r="I42" s="1"/>
      <c r="J42" s="1"/>
      <c r="K42" s="1"/>
      <c r="L42" s="1"/>
      <c r="M42" s="1"/>
      <c r="N42" s="1"/>
    </row>
    <row r="43" spans="1:14" ht="21" x14ac:dyDescent="0.3">
      <c r="A43" s="3"/>
      <c r="B43" s="67" t="s">
        <v>28</v>
      </c>
      <c r="C43" s="258" t="s">
        <v>972</v>
      </c>
      <c r="D43" s="259"/>
      <c r="E43" s="260"/>
      <c r="F43" s="10"/>
      <c r="G43" s="1"/>
      <c r="H43" s="1"/>
      <c r="I43" s="1"/>
      <c r="J43" s="1"/>
      <c r="K43" s="1"/>
      <c r="L43" s="1"/>
      <c r="M43" s="1"/>
      <c r="N43" s="1"/>
    </row>
    <row r="44" spans="1:14" ht="21" x14ac:dyDescent="0.3">
      <c r="A44" s="3"/>
      <c r="B44" s="67" t="s">
        <v>29</v>
      </c>
      <c r="C44" s="258" t="s">
        <v>15</v>
      </c>
      <c r="D44" s="259"/>
      <c r="E44" s="260"/>
      <c r="F44" s="10"/>
      <c r="G44" s="1"/>
      <c r="H44" s="1"/>
      <c r="I44" s="1"/>
      <c r="J44" s="1"/>
      <c r="K44" s="1"/>
      <c r="L44" s="1"/>
      <c r="M44" s="1"/>
      <c r="N44" s="1"/>
    </row>
    <row r="45" spans="1:14" ht="21" x14ac:dyDescent="0.3">
      <c r="A45" s="3"/>
      <c r="B45" s="253" t="s">
        <v>192</v>
      </c>
      <c r="C45" s="270"/>
      <c r="D45" s="270"/>
      <c r="E45" s="254"/>
      <c r="F45" s="10"/>
      <c r="G45" s="1"/>
      <c r="H45" s="1"/>
      <c r="I45" s="1"/>
      <c r="J45" s="1"/>
      <c r="K45" s="1"/>
      <c r="L45" s="1"/>
      <c r="M45" s="1"/>
      <c r="N45" s="1"/>
    </row>
    <row r="46" spans="1:14" ht="21" x14ac:dyDescent="0.3">
      <c r="A46" s="3"/>
      <c r="B46" s="1"/>
      <c r="C46" s="1"/>
      <c r="D46" s="22"/>
      <c r="E46" s="10"/>
      <c r="F46" s="1"/>
      <c r="G46" s="1"/>
      <c r="H46" s="1"/>
      <c r="I46" s="1"/>
      <c r="J46" s="1"/>
      <c r="K46" s="1"/>
      <c r="L46" s="1"/>
      <c r="M46" s="1"/>
      <c r="N46" s="1"/>
    </row>
    <row r="47" spans="1:14" ht="83.4" customHeight="1" x14ac:dyDescent="0.3">
      <c r="A47" s="191">
        <v>9</v>
      </c>
      <c r="B47" s="262" t="s">
        <v>32</v>
      </c>
      <c r="C47" s="262"/>
      <c r="D47" s="262"/>
      <c r="E47" s="263"/>
      <c r="F47" s="2"/>
      <c r="G47" s="2"/>
      <c r="H47" s="2"/>
      <c r="I47" s="2"/>
      <c r="J47" s="1"/>
      <c r="K47" s="1"/>
      <c r="L47" s="1"/>
      <c r="M47" s="1"/>
      <c r="N47" s="1"/>
    </row>
    <row r="48" spans="1:14" ht="96" customHeight="1" x14ac:dyDescent="0.3">
      <c r="A48" s="191"/>
      <c r="B48" s="24" t="s">
        <v>33</v>
      </c>
      <c r="C48" s="25" t="s">
        <v>34</v>
      </c>
      <c r="D48" s="25" t="s">
        <v>96</v>
      </c>
      <c r="E48" s="25" t="s">
        <v>35</v>
      </c>
      <c r="F48" s="1"/>
      <c r="G48" s="1"/>
      <c r="H48" s="1"/>
      <c r="I48" s="1"/>
      <c r="J48" s="1"/>
      <c r="K48" s="1"/>
      <c r="L48" s="1"/>
      <c r="M48" s="1"/>
      <c r="N48" s="1"/>
    </row>
    <row r="49" spans="1:14" ht="166.2" customHeight="1" x14ac:dyDescent="0.3">
      <c r="A49" s="191"/>
      <c r="B49" s="189" t="s">
        <v>485</v>
      </c>
      <c r="C49" s="27" t="s">
        <v>773</v>
      </c>
      <c r="D49" s="27" t="s">
        <v>892</v>
      </c>
      <c r="E49" s="27"/>
      <c r="F49" s="1"/>
      <c r="G49" s="1"/>
      <c r="H49" s="1"/>
      <c r="I49" s="1"/>
      <c r="J49" s="1"/>
      <c r="K49" s="1"/>
      <c r="L49" s="1"/>
      <c r="M49" s="1"/>
      <c r="N49" s="1"/>
    </row>
    <row r="50" spans="1:14" ht="21" x14ac:dyDescent="0.3">
      <c r="A50" s="191"/>
      <c r="B50" s="270"/>
      <c r="C50" s="270"/>
      <c r="D50" s="270"/>
      <c r="E50" s="254"/>
      <c r="F50" s="1"/>
      <c r="G50" s="1"/>
      <c r="H50" s="1"/>
      <c r="I50" s="1"/>
      <c r="J50" s="1"/>
      <c r="K50" s="1"/>
      <c r="L50" s="1"/>
      <c r="M50" s="1"/>
      <c r="N50" s="1"/>
    </row>
    <row r="51" spans="1:14" ht="46.2" customHeight="1" x14ac:dyDescent="0.3">
      <c r="A51" s="191"/>
      <c r="B51" s="458" t="s">
        <v>902</v>
      </c>
      <c r="C51" s="459"/>
      <c r="D51" s="459"/>
      <c r="E51" s="459"/>
      <c r="F51" s="1"/>
      <c r="G51" s="1"/>
      <c r="H51" s="1"/>
      <c r="I51" s="1"/>
      <c r="J51" s="1"/>
      <c r="K51" s="1"/>
      <c r="L51" s="1"/>
      <c r="M51" s="1"/>
      <c r="N51" s="1"/>
    </row>
    <row r="52" spans="1:14" ht="21" x14ac:dyDescent="0.3">
      <c r="A52" s="191"/>
      <c r="B52" s="28"/>
      <c r="C52" s="22"/>
      <c r="D52" s="22"/>
      <c r="E52" s="22"/>
      <c r="F52" s="66"/>
      <c r="G52" s="66"/>
      <c r="H52" s="66"/>
      <c r="I52" s="66"/>
      <c r="J52" s="1"/>
      <c r="K52" s="1"/>
      <c r="L52" s="1"/>
      <c r="M52" s="1"/>
      <c r="N52" s="1"/>
    </row>
    <row r="53" spans="1:14" ht="43.2" customHeight="1" x14ac:dyDescent="0.3">
      <c r="A53" s="191">
        <v>10</v>
      </c>
      <c r="B53" s="262" t="s">
        <v>32</v>
      </c>
      <c r="C53" s="262"/>
      <c r="D53" s="262"/>
      <c r="E53" s="263"/>
      <c r="F53" s="66"/>
      <c r="G53" s="66"/>
      <c r="H53" s="66"/>
      <c r="I53" s="1"/>
      <c r="J53" s="1"/>
      <c r="K53" s="1"/>
      <c r="L53" s="1"/>
      <c r="M53" s="1"/>
      <c r="N53" s="1"/>
    </row>
    <row r="54" spans="1:14" ht="21" x14ac:dyDescent="0.3">
      <c r="A54" s="191"/>
      <c r="B54" s="275" t="s">
        <v>36</v>
      </c>
      <c r="C54" s="277" t="s">
        <v>486</v>
      </c>
      <c r="D54" s="278"/>
      <c r="E54" s="279"/>
      <c r="F54" s="1"/>
      <c r="G54" s="1"/>
      <c r="H54" s="1"/>
      <c r="I54" s="1"/>
      <c r="J54" s="1"/>
      <c r="K54" s="2"/>
      <c r="L54" s="1"/>
      <c r="M54" s="1"/>
      <c r="N54" s="1"/>
    </row>
    <row r="55" spans="1:14" ht="100.2" customHeight="1" x14ac:dyDescent="0.3">
      <c r="A55" s="191"/>
      <c r="B55" s="276"/>
      <c r="C55" s="280"/>
      <c r="D55" s="281"/>
      <c r="E55" s="282"/>
      <c r="F55" s="1"/>
      <c r="G55" s="1"/>
      <c r="H55" s="1"/>
      <c r="I55" s="1"/>
      <c r="J55" s="1"/>
      <c r="K55" s="2"/>
      <c r="L55" s="1"/>
      <c r="M55" s="1"/>
      <c r="N55" s="1"/>
    </row>
    <row r="56" spans="1:14" ht="123.6" customHeight="1" x14ac:dyDescent="0.3">
      <c r="A56" s="191"/>
      <c r="B56" s="29" t="s">
        <v>37</v>
      </c>
      <c r="C56" s="283" t="s">
        <v>893</v>
      </c>
      <c r="D56" s="284"/>
      <c r="E56" s="285"/>
      <c r="F56" s="1"/>
      <c r="G56" s="1"/>
      <c r="H56" s="1"/>
      <c r="I56" s="1"/>
      <c r="J56" s="1"/>
      <c r="K56" s="1"/>
      <c r="L56" s="1"/>
      <c r="M56" s="1"/>
      <c r="N56" s="1"/>
    </row>
    <row r="57" spans="1:14" ht="21" x14ac:dyDescent="0.3">
      <c r="A57" s="191"/>
      <c r="B57" s="29" t="s">
        <v>38</v>
      </c>
      <c r="C57" s="391"/>
      <c r="D57" s="392"/>
      <c r="E57" s="393"/>
      <c r="F57" s="1"/>
      <c r="G57" s="1"/>
      <c r="H57" s="1"/>
      <c r="I57" s="1"/>
      <c r="J57" s="1"/>
      <c r="K57" s="30"/>
      <c r="L57" s="1"/>
      <c r="M57" s="1"/>
      <c r="N57" s="1"/>
    </row>
    <row r="58" spans="1:14" ht="39" customHeight="1" x14ac:dyDescent="0.4">
      <c r="A58" s="111" t="s">
        <v>39</v>
      </c>
      <c r="B58" s="441" t="s">
        <v>902</v>
      </c>
      <c r="C58" s="441"/>
      <c r="D58" s="441"/>
      <c r="E58" s="354"/>
      <c r="F58" s="32"/>
      <c r="G58" s="32"/>
      <c r="H58" s="32"/>
      <c r="I58" s="32"/>
      <c r="J58" s="32"/>
      <c r="K58" s="32"/>
      <c r="L58" s="32"/>
      <c r="M58" s="32"/>
      <c r="N58" s="32"/>
    </row>
    <row r="59" spans="1:14" ht="21" x14ac:dyDescent="0.3">
      <c r="A59" s="111" t="s">
        <v>39</v>
      </c>
      <c r="B59" s="73"/>
      <c r="C59" s="73"/>
      <c r="D59" s="73"/>
      <c r="E59" s="73"/>
      <c r="F59" s="73"/>
      <c r="G59" s="1"/>
      <c r="H59" s="1"/>
      <c r="I59" s="1"/>
      <c r="J59" s="1"/>
      <c r="K59" s="1"/>
      <c r="L59" s="1"/>
      <c r="M59" s="1"/>
      <c r="N59" s="1"/>
    </row>
    <row r="60" spans="1:14" ht="21" x14ac:dyDescent="0.3">
      <c r="A60" s="3">
        <v>11</v>
      </c>
      <c r="B60" s="54" t="s">
        <v>41</v>
      </c>
      <c r="C60" s="270" t="s">
        <v>121</v>
      </c>
      <c r="D60" s="270"/>
      <c r="E60" s="270"/>
      <c r="F60" s="2"/>
      <c r="G60" s="2"/>
      <c r="H60" s="74"/>
      <c r="I60" s="2"/>
      <c r="J60" s="2"/>
      <c r="K60" s="1"/>
      <c r="L60" s="1"/>
      <c r="M60" s="1"/>
      <c r="N60" s="1"/>
    </row>
    <row r="61" spans="1:14" ht="20.7" customHeight="1" x14ac:dyDescent="0.3">
      <c r="A61" s="3"/>
      <c r="B61" s="66"/>
      <c r="C61" s="270"/>
      <c r="D61" s="270"/>
      <c r="E61" s="270"/>
      <c r="F61" s="66"/>
      <c r="G61" s="66"/>
      <c r="H61" s="75"/>
      <c r="I61" s="75"/>
      <c r="J61" s="66"/>
      <c r="K61" s="1"/>
      <c r="L61" s="1"/>
      <c r="M61" s="1"/>
      <c r="N61" s="1"/>
    </row>
    <row r="62" spans="1:14" ht="21" x14ac:dyDescent="0.3">
      <c r="A62" s="76">
        <v>12</v>
      </c>
      <c r="B62" s="77" t="s">
        <v>42</v>
      </c>
      <c r="C62" s="272"/>
      <c r="D62" s="273"/>
      <c r="E62" s="274"/>
      <c r="F62" s="78"/>
      <c r="G62" s="79"/>
      <c r="H62" s="79"/>
      <c r="I62" s="79"/>
      <c r="J62" s="79"/>
      <c r="K62" s="79"/>
      <c r="L62" s="79"/>
      <c r="M62" s="79"/>
      <c r="N62" s="79"/>
    </row>
    <row r="63" spans="1:14" ht="20.399999999999999" x14ac:dyDescent="0.3">
      <c r="A63" s="3"/>
      <c r="B63" s="2"/>
      <c r="C63" s="2"/>
      <c r="D63" s="2"/>
      <c r="E63" s="74"/>
      <c r="F63" s="74"/>
      <c r="G63" s="74"/>
      <c r="H63" s="2"/>
      <c r="I63" s="2"/>
      <c r="J63" s="2"/>
      <c r="K63" s="2"/>
      <c r="L63" s="2"/>
      <c r="M63" s="2"/>
      <c r="N63" s="2"/>
    </row>
    <row r="64" spans="1:14" ht="21" x14ac:dyDescent="0.3">
      <c r="A64" s="3"/>
      <c r="B64" s="67" t="s">
        <v>43</v>
      </c>
      <c r="C64" s="68" t="s">
        <v>487</v>
      </c>
      <c r="D64" s="66"/>
      <c r="E64" s="66"/>
      <c r="F64" s="75"/>
      <c r="G64" s="75"/>
      <c r="H64" s="66"/>
      <c r="I64" s="66"/>
      <c r="J64" s="66"/>
      <c r="K64" s="66"/>
      <c r="L64" s="66"/>
      <c r="M64" s="66"/>
      <c r="N64" s="66"/>
    </row>
    <row r="65" spans="1:14" ht="20.399999999999999" x14ac:dyDescent="0.3">
      <c r="A65" s="3"/>
      <c r="B65" s="66"/>
      <c r="C65" s="66"/>
      <c r="D65" s="66"/>
      <c r="E65" s="66"/>
      <c r="F65" s="66"/>
      <c r="G65" s="66"/>
      <c r="H65" s="66"/>
      <c r="I65" s="66"/>
      <c r="J65" s="66"/>
      <c r="K65" s="66"/>
      <c r="L65" s="66"/>
      <c r="M65" s="66"/>
      <c r="N65" s="66"/>
    </row>
    <row r="66" spans="1:14" ht="87.6" customHeight="1" x14ac:dyDescent="0.3">
      <c r="A66" s="3"/>
      <c r="B66" s="295" t="s">
        <v>44</v>
      </c>
      <c r="C66" s="295" t="s">
        <v>488</v>
      </c>
      <c r="D66" s="295" t="s">
        <v>68</v>
      </c>
      <c r="E66" s="297" t="s">
        <v>45</v>
      </c>
      <c r="F66" s="292" t="s">
        <v>480</v>
      </c>
      <c r="G66" s="293"/>
      <c r="H66" s="294"/>
      <c r="I66" s="292" t="s">
        <v>481</v>
      </c>
      <c r="J66" s="293"/>
      <c r="K66" s="294"/>
      <c r="L66" s="292" t="s">
        <v>482</v>
      </c>
      <c r="M66" s="293"/>
      <c r="N66" s="294"/>
    </row>
    <row r="67" spans="1:14" ht="102" x14ac:dyDescent="0.3">
      <c r="A67" s="3"/>
      <c r="B67" s="296"/>
      <c r="C67" s="296"/>
      <c r="D67" s="296"/>
      <c r="E67" s="298"/>
      <c r="F67" s="67" t="s">
        <v>46</v>
      </c>
      <c r="G67" s="67" t="s">
        <v>47</v>
      </c>
      <c r="H67" s="67" t="s">
        <v>48</v>
      </c>
      <c r="I67" s="67" t="s">
        <v>49</v>
      </c>
      <c r="J67" s="67" t="s">
        <v>47</v>
      </c>
      <c r="K67" s="67" t="s">
        <v>48</v>
      </c>
      <c r="L67" s="67" t="s">
        <v>49</v>
      </c>
      <c r="M67" s="67" t="s">
        <v>47</v>
      </c>
      <c r="N67" s="67" t="s">
        <v>48</v>
      </c>
    </row>
    <row r="68" spans="1:14" ht="105" customHeight="1" x14ac:dyDescent="0.3">
      <c r="A68" s="3"/>
      <c r="B68" s="67" t="s">
        <v>112</v>
      </c>
      <c r="C68" s="82">
        <v>47.25</v>
      </c>
      <c r="D68" s="82">
        <v>40.340000000000003</v>
      </c>
      <c r="E68" s="82">
        <v>30</v>
      </c>
      <c r="F68" s="121">
        <v>13.54</v>
      </c>
      <c r="G68" s="121">
        <v>60.29</v>
      </c>
      <c r="H68" s="121">
        <v>13.32</v>
      </c>
      <c r="I68" s="121">
        <v>8.7799999999999994</v>
      </c>
      <c r="J68" s="121">
        <v>18.989999999999998</v>
      </c>
      <c r="K68" s="121">
        <v>8.5</v>
      </c>
      <c r="L68" s="345" t="s">
        <v>108</v>
      </c>
      <c r="M68" s="346"/>
      <c r="N68" s="347"/>
    </row>
    <row r="69" spans="1:14" ht="40.799999999999997" x14ac:dyDescent="0.3">
      <c r="A69" s="3"/>
      <c r="B69" s="69" t="s">
        <v>113</v>
      </c>
      <c r="C69" s="82">
        <v>76606.570000000007</v>
      </c>
      <c r="D69" s="82">
        <v>79897.34</v>
      </c>
      <c r="E69" s="82">
        <v>81559.539999999994</v>
      </c>
      <c r="F69" s="51">
        <v>77414.92</v>
      </c>
      <c r="G69" s="51">
        <v>85978.25</v>
      </c>
      <c r="H69" s="51">
        <v>70234.429999999993</v>
      </c>
      <c r="I69" s="121">
        <v>71947.55</v>
      </c>
      <c r="J69" s="121">
        <v>86159.02</v>
      </c>
      <c r="K69" s="121">
        <v>71425.009999999995</v>
      </c>
      <c r="L69" s="348"/>
      <c r="M69" s="349"/>
      <c r="N69" s="350"/>
    </row>
    <row r="70" spans="1:14" ht="20.25" customHeight="1" x14ac:dyDescent="0.3">
      <c r="A70" s="3"/>
      <c r="B70" s="253" t="s">
        <v>344</v>
      </c>
      <c r="C70" s="270"/>
      <c r="D70" s="270"/>
      <c r="E70" s="270"/>
      <c r="F70" s="270"/>
      <c r="G70" s="270"/>
      <c r="H70" s="270"/>
      <c r="I70" s="270"/>
      <c r="J70" s="270"/>
      <c r="K70" s="270"/>
      <c r="L70" s="270"/>
      <c r="M70" s="270"/>
      <c r="N70" s="254"/>
    </row>
    <row r="71" spans="1:14" ht="20.25" customHeight="1" x14ac:dyDescent="0.3">
      <c r="A71" s="3"/>
      <c r="B71" s="253" t="s">
        <v>345</v>
      </c>
      <c r="C71" s="270"/>
      <c r="D71" s="270"/>
      <c r="E71" s="270"/>
      <c r="F71" s="254"/>
      <c r="G71" s="83"/>
      <c r="H71" s="83"/>
      <c r="I71" s="83"/>
      <c r="J71" s="83"/>
      <c r="K71" s="83"/>
      <c r="L71" s="83"/>
      <c r="M71" s="83"/>
      <c r="N71" s="83"/>
    </row>
    <row r="72" spans="1:14" ht="20.25" customHeight="1" x14ac:dyDescent="0.3">
      <c r="A72" s="3"/>
      <c r="B72" s="253" t="s">
        <v>70</v>
      </c>
      <c r="C72" s="270"/>
      <c r="D72" s="270"/>
      <c r="E72" s="270"/>
      <c r="F72" s="254"/>
      <c r="G72" s="83"/>
      <c r="H72" s="83"/>
      <c r="I72" s="83"/>
      <c r="J72" s="83"/>
      <c r="K72" s="83"/>
      <c r="L72" s="83"/>
      <c r="M72" s="83"/>
      <c r="N72" s="83"/>
    </row>
    <row r="73" spans="1:14" ht="21" x14ac:dyDescent="0.3">
      <c r="A73" s="3"/>
      <c r="B73" s="403" t="s">
        <v>71</v>
      </c>
      <c r="C73" s="403"/>
      <c r="D73" s="403"/>
      <c r="E73" s="403"/>
      <c r="F73" s="403"/>
      <c r="G73" s="196"/>
      <c r="H73" s="83"/>
      <c r="I73" s="83"/>
      <c r="J73" s="83"/>
      <c r="K73" s="83"/>
      <c r="L73" s="83"/>
      <c r="M73" s="83"/>
      <c r="N73" s="83"/>
    </row>
    <row r="74" spans="1:14" ht="21" x14ac:dyDescent="0.3">
      <c r="A74" s="3"/>
      <c r="B74" s="253" t="s">
        <v>973</v>
      </c>
      <c r="C74" s="270"/>
      <c r="D74" s="270"/>
      <c r="E74" s="270"/>
      <c r="F74" s="254"/>
      <c r="G74" s="10"/>
      <c r="H74" s="10"/>
      <c r="I74" s="10"/>
      <c r="J74" s="10"/>
      <c r="K74" s="10"/>
      <c r="L74" s="10"/>
      <c r="M74" s="10"/>
      <c r="N74" s="10"/>
    </row>
    <row r="75" spans="1:14" ht="39" customHeight="1" x14ac:dyDescent="0.3">
      <c r="A75" s="3">
        <v>13</v>
      </c>
      <c r="B75" s="261" t="s">
        <v>51</v>
      </c>
      <c r="C75" s="262"/>
      <c r="D75" s="262"/>
      <c r="E75" s="262"/>
      <c r="F75" s="262"/>
      <c r="G75" s="263"/>
      <c r="H75" s="2"/>
      <c r="I75" s="2"/>
      <c r="J75" s="2"/>
      <c r="K75" s="2"/>
      <c r="L75" s="2"/>
      <c r="M75" s="2"/>
      <c r="N75" s="2"/>
    </row>
    <row r="76" spans="1:14" ht="21" x14ac:dyDescent="0.3">
      <c r="A76" s="3"/>
      <c r="B76" s="1"/>
      <c r="C76" s="66"/>
      <c r="D76" s="66"/>
      <c r="E76" s="66"/>
      <c r="F76" s="66"/>
      <c r="G76" s="66"/>
      <c r="H76" s="66"/>
      <c r="I76" s="66"/>
      <c r="J76" s="66"/>
      <c r="K76" s="66"/>
      <c r="L76" s="66"/>
      <c r="M76" s="66"/>
      <c r="N76" s="66"/>
    </row>
    <row r="77" spans="1:14" ht="61.2" x14ac:dyDescent="0.3">
      <c r="A77" s="3"/>
      <c r="B77" s="25" t="s">
        <v>52</v>
      </c>
      <c r="C77" s="25" t="s">
        <v>53</v>
      </c>
      <c r="D77" s="25" t="s">
        <v>974</v>
      </c>
      <c r="E77" s="25" t="s">
        <v>54</v>
      </c>
      <c r="F77" s="25" t="s">
        <v>55</v>
      </c>
      <c r="G77" s="25" t="s">
        <v>56</v>
      </c>
      <c r="H77" s="10"/>
      <c r="I77" s="10"/>
      <c r="J77" s="10"/>
      <c r="K77" s="10"/>
      <c r="L77" s="10"/>
      <c r="M77" s="10"/>
      <c r="N77" s="10"/>
    </row>
    <row r="78" spans="1:14" ht="21" customHeight="1" x14ac:dyDescent="0.3">
      <c r="A78" s="3"/>
      <c r="B78" s="297" t="s">
        <v>72</v>
      </c>
      <c r="C78" s="54" t="s">
        <v>489</v>
      </c>
      <c r="D78" s="151">
        <v>0.53</v>
      </c>
      <c r="E78" s="88">
        <v>0.12</v>
      </c>
      <c r="F78" s="88">
        <v>0.17</v>
      </c>
      <c r="G78" s="311" t="s">
        <v>83</v>
      </c>
      <c r="H78" s="1"/>
      <c r="I78" s="1"/>
      <c r="J78" s="1"/>
      <c r="K78" s="1"/>
      <c r="L78" s="1"/>
      <c r="M78" s="1"/>
      <c r="N78" s="1"/>
    </row>
    <row r="79" spans="1:14" ht="21" customHeight="1" x14ac:dyDescent="0.3">
      <c r="A79" s="3"/>
      <c r="B79" s="309"/>
      <c r="C79" s="54" t="s">
        <v>237</v>
      </c>
      <c r="D79" s="135"/>
      <c r="E79" s="88"/>
      <c r="F79" s="88"/>
      <c r="G79" s="311"/>
      <c r="H79" s="1"/>
      <c r="I79" s="1"/>
      <c r="J79" s="1"/>
      <c r="K79" s="1"/>
      <c r="L79" s="1"/>
      <c r="M79" s="1"/>
      <c r="N79" s="1"/>
    </row>
    <row r="80" spans="1:14" ht="21" customHeight="1" x14ac:dyDescent="0.3">
      <c r="A80" s="3"/>
      <c r="B80" s="309"/>
      <c r="C80" s="5" t="s">
        <v>490</v>
      </c>
      <c r="D80" s="135">
        <v>20.81</v>
      </c>
      <c r="E80" s="88">
        <v>8.84</v>
      </c>
      <c r="F80" s="88">
        <v>14.62</v>
      </c>
      <c r="G80" s="311"/>
      <c r="H80" s="1"/>
      <c r="I80" s="1"/>
      <c r="J80" s="1"/>
      <c r="K80" s="1"/>
      <c r="L80" s="1"/>
      <c r="M80" s="1"/>
      <c r="N80" s="1"/>
    </row>
    <row r="81" spans="1:14" ht="21" customHeight="1" x14ac:dyDescent="0.3">
      <c r="A81" s="3"/>
      <c r="B81" s="309"/>
      <c r="C81" s="5" t="s">
        <v>491</v>
      </c>
      <c r="D81" s="135">
        <v>4.3099999999999996</v>
      </c>
      <c r="E81" s="88">
        <v>4.8499999999999996</v>
      </c>
      <c r="F81" s="88">
        <v>4.37</v>
      </c>
      <c r="G81" s="311"/>
      <c r="H81" s="1"/>
      <c r="I81" s="1"/>
      <c r="J81" s="1"/>
      <c r="K81" s="1"/>
      <c r="L81" s="1"/>
      <c r="M81" s="1"/>
      <c r="N81" s="1"/>
    </row>
    <row r="82" spans="1:14" ht="21" customHeight="1" x14ac:dyDescent="0.3">
      <c r="A82" s="3"/>
      <c r="B82" s="298"/>
      <c r="C82" s="54" t="s">
        <v>295</v>
      </c>
      <c r="D82" s="140">
        <f>AVERAGE(D80:D81)</f>
        <v>12.559999999999999</v>
      </c>
      <c r="E82" s="140">
        <f>AVERAGE(E80:E81)</f>
        <v>6.8449999999999998</v>
      </c>
      <c r="F82" s="157">
        <f>AVERAGE(F80:F81)</f>
        <v>9.4949999999999992</v>
      </c>
      <c r="G82" s="311"/>
      <c r="H82" s="1"/>
      <c r="I82" s="1"/>
      <c r="J82" s="1"/>
      <c r="K82" s="1"/>
      <c r="L82" s="1"/>
      <c r="M82" s="1"/>
      <c r="N82" s="1"/>
    </row>
    <row r="83" spans="1:14" ht="21" x14ac:dyDescent="0.3">
      <c r="A83" s="3"/>
      <c r="B83" s="297" t="s">
        <v>59</v>
      </c>
      <c r="C83" s="54" t="s">
        <v>489</v>
      </c>
      <c r="D83" s="141">
        <v>65.97</v>
      </c>
      <c r="E83" s="90">
        <f>F68/E78</f>
        <v>112.83333333333333</v>
      </c>
      <c r="F83" s="90">
        <f>I68/F78</f>
        <v>51.647058823529406</v>
      </c>
      <c r="G83" s="311"/>
      <c r="H83" s="1"/>
      <c r="I83" s="1"/>
      <c r="J83" s="1"/>
      <c r="K83" s="1"/>
      <c r="L83" s="1"/>
      <c r="M83" s="1"/>
      <c r="N83" s="1"/>
    </row>
    <row r="84" spans="1:14" ht="21" x14ac:dyDescent="0.3">
      <c r="A84" s="3"/>
      <c r="B84" s="309"/>
      <c r="C84" s="54" t="s">
        <v>237</v>
      </c>
      <c r="D84" s="135"/>
      <c r="E84" s="88"/>
      <c r="F84" s="88"/>
      <c r="G84" s="311"/>
      <c r="H84" s="1"/>
      <c r="I84" s="1"/>
      <c r="J84" s="1"/>
      <c r="K84" s="1"/>
      <c r="L84" s="1"/>
      <c r="M84" s="1"/>
      <c r="N84" s="1"/>
    </row>
    <row r="85" spans="1:14" ht="21" x14ac:dyDescent="0.3">
      <c r="A85" s="3"/>
      <c r="B85" s="309"/>
      <c r="C85" s="5" t="s">
        <v>490</v>
      </c>
      <c r="D85" s="135">
        <v>44.65</v>
      </c>
      <c r="E85" s="90">
        <f>710.8/E80</f>
        <v>80.407239819004516</v>
      </c>
      <c r="F85" s="90">
        <f>466.85/F80</f>
        <v>31.932284541723668</v>
      </c>
      <c r="G85" s="311"/>
      <c r="H85" s="1"/>
      <c r="I85" s="1"/>
      <c r="J85" s="1"/>
      <c r="K85" s="1"/>
      <c r="L85" s="1"/>
      <c r="M85" s="1"/>
      <c r="N85" s="1"/>
    </row>
    <row r="86" spans="1:14" ht="21" x14ac:dyDescent="0.3">
      <c r="A86" s="3"/>
      <c r="B86" s="309"/>
      <c r="C86" s="5" t="s">
        <v>491</v>
      </c>
      <c r="D86" s="135">
        <v>17.850000000000001</v>
      </c>
      <c r="E86" s="90">
        <f>119.66/E81</f>
        <v>24.672164948453609</v>
      </c>
      <c r="F86" s="90">
        <f>72.25/F81</f>
        <v>16.533180778032037</v>
      </c>
      <c r="G86" s="311"/>
      <c r="H86" s="1"/>
      <c r="I86" s="1"/>
      <c r="J86" s="1"/>
      <c r="K86" s="1"/>
      <c r="L86" s="1"/>
      <c r="M86" s="1"/>
      <c r="N86" s="1"/>
    </row>
    <row r="87" spans="1:14" ht="21" x14ac:dyDescent="0.3">
      <c r="A87" s="3"/>
      <c r="B87" s="298"/>
      <c r="C87" s="54" t="s">
        <v>295</v>
      </c>
      <c r="D87" s="140">
        <f>AVERAGE(D85:D86)</f>
        <v>31.25</v>
      </c>
      <c r="E87" s="140">
        <f>AVERAGE(E85:E86)</f>
        <v>52.539702383729065</v>
      </c>
      <c r="F87" s="157">
        <f>AVERAGE(F85:F86)</f>
        <v>24.232732659877854</v>
      </c>
      <c r="G87" s="311"/>
      <c r="H87" s="1"/>
      <c r="I87" s="1"/>
      <c r="J87" s="1"/>
      <c r="K87" s="1"/>
      <c r="L87" s="1"/>
      <c r="M87" s="1"/>
      <c r="N87" s="1"/>
    </row>
    <row r="88" spans="1:14" ht="21" x14ac:dyDescent="0.3">
      <c r="A88" s="3"/>
      <c r="B88" s="297" t="s">
        <v>60</v>
      </c>
      <c r="C88" s="54" t="s">
        <v>489</v>
      </c>
      <c r="D88" s="142">
        <v>4.7100000000000003E-2</v>
      </c>
      <c r="E88" s="110">
        <v>5.8999999999999999E-3</v>
      </c>
      <c r="F88" s="110">
        <v>8.6E-3</v>
      </c>
      <c r="G88" s="311"/>
      <c r="H88" s="1"/>
      <c r="I88" s="1"/>
      <c r="J88" s="1"/>
      <c r="K88" s="1"/>
      <c r="L88" s="1"/>
      <c r="M88" s="1"/>
      <c r="N88" s="1"/>
    </row>
    <row r="89" spans="1:14" ht="21" x14ac:dyDescent="0.3">
      <c r="A89" s="3"/>
      <c r="B89" s="309"/>
      <c r="C89" s="54" t="s">
        <v>237</v>
      </c>
      <c r="D89" s="5"/>
      <c r="E89" s="88"/>
      <c r="F89" s="88"/>
      <c r="G89" s="311"/>
      <c r="H89" s="1"/>
      <c r="I89" s="1"/>
      <c r="J89" s="1"/>
      <c r="K89" s="1"/>
      <c r="L89" s="1"/>
      <c r="M89" s="1"/>
      <c r="N89" s="1"/>
    </row>
    <row r="90" spans="1:14" ht="21" x14ac:dyDescent="0.3">
      <c r="A90" s="3"/>
      <c r="B90" s="309"/>
      <c r="C90" s="5" t="s">
        <v>490</v>
      </c>
      <c r="D90" s="126">
        <v>0.12690000000000001</v>
      </c>
      <c r="E90" s="110">
        <v>3.15E-2</v>
      </c>
      <c r="F90" s="110">
        <v>4.2799999999999998E-2</v>
      </c>
      <c r="G90" s="311"/>
      <c r="H90" s="1"/>
      <c r="I90" s="1"/>
      <c r="J90" s="1"/>
      <c r="K90" s="1"/>
      <c r="L90" s="1"/>
      <c r="M90" s="1"/>
      <c r="N90" s="1"/>
    </row>
    <row r="91" spans="1:14" ht="21" x14ac:dyDescent="0.3">
      <c r="A91" s="3"/>
      <c r="B91" s="309"/>
      <c r="C91" s="5" t="s">
        <v>491</v>
      </c>
      <c r="D91" s="126">
        <v>6.5299999999999997E-2</v>
      </c>
      <c r="E91" s="110">
        <v>6.5799999999999997E-2</v>
      </c>
      <c r="F91" s="110">
        <v>5.6599999999999998E-2</v>
      </c>
      <c r="G91" s="311"/>
      <c r="H91" s="1"/>
      <c r="I91" s="1"/>
      <c r="J91" s="1"/>
      <c r="K91" s="1"/>
      <c r="L91" s="1"/>
      <c r="M91" s="1"/>
      <c r="N91" s="1"/>
    </row>
    <row r="92" spans="1:14" ht="21" x14ac:dyDescent="0.3">
      <c r="A92" s="3"/>
      <c r="B92" s="298"/>
      <c r="C92" s="54" t="s">
        <v>295</v>
      </c>
      <c r="D92" s="143">
        <f>AVERAGE(D90:D91)</f>
        <v>9.6100000000000005E-2</v>
      </c>
      <c r="E92" s="143">
        <f>AVERAGE(E90:E91)</f>
        <v>4.8649999999999999E-2</v>
      </c>
      <c r="F92" s="131">
        <f>AVERAGE(F90:F91)</f>
        <v>4.9699999999999994E-2</v>
      </c>
      <c r="G92" s="311"/>
      <c r="H92" s="1"/>
      <c r="I92" s="1"/>
      <c r="J92" s="1"/>
      <c r="K92" s="1"/>
      <c r="L92" s="1"/>
      <c r="M92" s="1"/>
      <c r="N92" s="1"/>
    </row>
    <row r="93" spans="1:14" ht="21" x14ac:dyDescent="0.3">
      <c r="A93" s="3"/>
      <c r="B93" s="310" t="s">
        <v>61</v>
      </c>
      <c r="C93" s="54" t="s">
        <v>489</v>
      </c>
      <c r="D93" s="135">
        <v>11.26</v>
      </c>
      <c r="E93" s="88">
        <v>20.260000000000002</v>
      </c>
      <c r="F93" s="88">
        <v>19.2</v>
      </c>
      <c r="G93" s="311"/>
      <c r="H93" s="1"/>
      <c r="I93" s="1"/>
      <c r="J93" s="1"/>
      <c r="K93" s="1"/>
      <c r="L93" s="1"/>
      <c r="M93" s="1"/>
      <c r="N93" s="1"/>
    </row>
    <row r="94" spans="1:14" ht="21" x14ac:dyDescent="0.3">
      <c r="A94" s="3"/>
      <c r="B94" s="310"/>
      <c r="C94" s="54" t="s">
        <v>237</v>
      </c>
      <c r="D94" s="135"/>
      <c r="E94" s="88"/>
      <c r="F94" s="88"/>
      <c r="G94" s="311"/>
      <c r="H94" s="1"/>
      <c r="I94" s="1"/>
      <c r="J94" s="1"/>
      <c r="K94" s="1"/>
      <c r="L94" s="1"/>
      <c r="M94" s="1"/>
      <c r="N94" s="1"/>
    </row>
    <row r="95" spans="1:14" ht="21" x14ac:dyDescent="0.3">
      <c r="A95" s="3"/>
      <c r="B95" s="310"/>
      <c r="C95" s="5" t="s">
        <v>490</v>
      </c>
      <c r="D95" s="135">
        <v>164.03</v>
      </c>
      <c r="E95" s="88">
        <v>2.79</v>
      </c>
      <c r="F95" s="88">
        <v>3</v>
      </c>
      <c r="G95" s="311"/>
      <c r="H95" s="1"/>
      <c r="I95" s="1"/>
      <c r="J95" s="1"/>
      <c r="K95" s="1"/>
      <c r="L95" s="1"/>
      <c r="M95" s="1"/>
      <c r="N95" s="1"/>
    </row>
    <row r="96" spans="1:14" ht="21" x14ac:dyDescent="0.3">
      <c r="A96" s="3"/>
      <c r="B96" s="310"/>
      <c r="C96" s="5" t="s">
        <v>491</v>
      </c>
      <c r="D96" s="135">
        <v>66.040000000000006</v>
      </c>
      <c r="E96" s="88">
        <v>73.73</v>
      </c>
      <c r="F96" s="88">
        <v>77.22</v>
      </c>
      <c r="G96" s="311"/>
      <c r="H96" s="1"/>
      <c r="I96" s="1"/>
      <c r="J96" s="1"/>
      <c r="K96" s="1"/>
      <c r="L96" s="1"/>
      <c r="M96" s="1"/>
      <c r="N96" s="1"/>
    </row>
    <row r="97" spans="1:14" ht="21" x14ac:dyDescent="0.35">
      <c r="A97" s="3"/>
      <c r="B97" s="310"/>
      <c r="C97" s="54" t="s">
        <v>295</v>
      </c>
      <c r="D97" s="144">
        <f>AVERAGE(D95:D96)</f>
        <v>115.035</v>
      </c>
      <c r="E97" s="144">
        <f>AVERAGE(E95:E96)</f>
        <v>38.260000000000005</v>
      </c>
      <c r="F97" s="116">
        <f>AVERAGE(F95:F96)</f>
        <v>40.11</v>
      </c>
      <c r="G97" s="311"/>
      <c r="H97" s="1"/>
      <c r="I97" s="1"/>
      <c r="J97" s="1"/>
      <c r="K97" s="1"/>
      <c r="L97" s="1"/>
      <c r="M97" s="1"/>
      <c r="N97" s="1"/>
    </row>
    <row r="98" spans="1:14" ht="21" x14ac:dyDescent="0.3">
      <c r="A98" s="3"/>
      <c r="B98" s="301"/>
      <c r="C98" s="302"/>
      <c r="D98" s="302"/>
      <c r="E98" s="302"/>
      <c r="F98" s="302"/>
      <c r="G98" s="303"/>
      <c r="H98" s="1"/>
      <c r="I98" s="1"/>
      <c r="J98" s="1"/>
      <c r="K98" s="1"/>
      <c r="L98" s="1"/>
      <c r="M98" s="1"/>
      <c r="N98" s="1"/>
    </row>
    <row r="99" spans="1:14" ht="21" x14ac:dyDescent="0.3">
      <c r="A99" s="2"/>
      <c r="B99" s="253" t="s">
        <v>82</v>
      </c>
      <c r="C99" s="270"/>
      <c r="D99" s="270"/>
      <c r="E99" s="270"/>
      <c r="F99" s="270"/>
      <c r="G99" s="254"/>
      <c r="H99" s="2"/>
      <c r="I99" s="2"/>
      <c r="J99" s="2"/>
      <c r="K99" s="2"/>
      <c r="L99" s="2"/>
      <c r="M99" s="2"/>
      <c r="N99" s="2"/>
    </row>
    <row r="100" spans="1:14" ht="53.4" customHeight="1" x14ac:dyDescent="0.3">
      <c r="A100" s="3"/>
      <c r="B100" s="304" t="s">
        <v>563</v>
      </c>
      <c r="C100" s="242"/>
      <c r="D100" s="242"/>
      <c r="E100" s="242"/>
      <c r="F100" s="242"/>
      <c r="G100" s="305"/>
      <c r="H100" s="1"/>
      <c r="I100" s="1"/>
      <c r="J100" s="1"/>
      <c r="K100" s="1"/>
      <c r="L100" s="1"/>
      <c r="M100" s="1"/>
      <c r="N100" s="1"/>
    </row>
    <row r="101" spans="1:14" ht="17.399999999999999" customHeight="1" x14ac:dyDescent="0.3">
      <c r="A101" s="3"/>
      <c r="B101" s="248"/>
      <c r="C101" s="248"/>
      <c r="D101" s="248"/>
      <c r="E101" s="55"/>
      <c r="F101" s="55"/>
      <c r="G101" s="55"/>
      <c r="H101" s="1"/>
      <c r="I101" s="1"/>
      <c r="J101" s="1"/>
      <c r="K101" s="1"/>
      <c r="L101" s="1"/>
      <c r="M101" s="1"/>
      <c r="N101" s="1"/>
    </row>
    <row r="102" spans="1:14" ht="21" hidden="1" x14ac:dyDescent="0.3">
      <c r="A102" s="1"/>
      <c r="B102" s="1"/>
      <c r="C102" s="306"/>
      <c r="D102" s="306"/>
      <c r="E102" s="306"/>
      <c r="F102" s="306"/>
      <c r="G102" s="306"/>
      <c r="H102" s="1"/>
      <c r="I102" s="1"/>
      <c r="J102" s="1"/>
      <c r="K102" s="1"/>
      <c r="L102" s="1"/>
      <c r="M102" s="1"/>
      <c r="N102" s="1"/>
    </row>
    <row r="103" spans="1:14" ht="21" x14ac:dyDescent="0.3">
      <c r="A103" s="3">
        <v>14</v>
      </c>
      <c r="B103" s="54" t="s">
        <v>63</v>
      </c>
      <c r="C103" s="307" t="s">
        <v>50</v>
      </c>
      <c r="D103" s="308"/>
      <c r="E103" s="308"/>
      <c r="F103" s="308"/>
      <c r="G103" s="249"/>
      <c r="H103" s="1"/>
      <c r="I103" s="1"/>
      <c r="J103" s="1"/>
      <c r="K103" s="1"/>
      <c r="L103" s="1"/>
      <c r="M103" s="1"/>
      <c r="N103" s="1"/>
    </row>
    <row r="104" spans="1:14" ht="21" x14ac:dyDescent="0.3">
      <c r="A104" s="1"/>
      <c r="B104" s="1"/>
      <c r="C104" s="55"/>
      <c r="D104" s="55"/>
      <c r="E104" s="55"/>
      <c r="F104" s="55"/>
      <c r="G104" s="55"/>
      <c r="H104" s="1"/>
      <c r="I104" s="1"/>
      <c r="J104" s="1"/>
      <c r="K104" s="1"/>
      <c r="L104" s="1"/>
      <c r="M104" s="1"/>
      <c r="N104" s="1"/>
    </row>
    <row r="105" spans="1:14" ht="20.25" customHeight="1" x14ac:dyDescent="0.3">
      <c r="A105" s="1"/>
      <c r="B105" s="299" t="s">
        <v>492</v>
      </c>
      <c r="C105" s="299"/>
      <c r="D105" s="299"/>
      <c r="E105" s="299"/>
      <c r="F105" s="299"/>
      <c r="G105" s="299"/>
      <c r="H105" s="299"/>
      <c r="I105" s="1"/>
      <c r="J105" s="1"/>
      <c r="K105" s="1"/>
      <c r="L105" s="1"/>
      <c r="M105" s="1"/>
      <c r="N105" s="1"/>
    </row>
  </sheetData>
  <mergeCells count="65">
    <mergeCell ref="C20:E20"/>
    <mergeCell ref="A1:B1"/>
    <mergeCell ref="C3:E3"/>
    <mergeCell ref="C5:E5"/>
    <mergeCell ref="B6:D6"/>
    <mergeCell ref="B9:D9"/>
    <mergeCell ref="C11:E11"/>
    <mergeCell ref="B12:D12"/>
    <mergeCell ref="C14:E14"/>
    <mergeCell ref="B15:D15"/>
    <mergeCell ref="B17:C17"/>
    <mergeCell ref="B19:E19"/>
    <mergeCell ref="B39:D39"/>
    <mergeCell ref="C21:E21"/>
    <mergeCell ref="C22:E22"/>
    <mergeCell ref="C23:E23"/>
    <mergeCell ref="C24:E24"/>
    <mergeCell ref="B26:E26"/>
    <mergeCell ref="B27:E27"/>
    <mergeCell ref="E29:E32"/>
    <mergeCell ref="B33:E33"/>
    <mergeCell ref="B35:E35"/>
    <mergeCell ref="C57:E57"/>
    <mergeCell ref="B41:E41"/>
    <mergeCell ref="C42:E42"/>
    <mergeCell ref="C43:E43"/>
    <mergeCell ref="C44:E44"/>
    <mergeCell ref="B45:E45"/>
    <mergeCell ref="B47:E47"/>
    <mergeCell ref="B50:E50"/>
    <mergeCell ref="B53:E53"/>
    <mergeCell ref="B54:B55"/>
    <mergeCell ref="C54:E55"/>
    <mergeCell ref="C56:E56"/>
    <mergeCell ref="B51:E51"/>
    <mergeCell ref="B58:E58"/>
    <mergeCell ref="C60:E60"/>
    <mergeCell ref="C61:E61"/>
    <mergeCell ref="C62:E62"/>
    <mergeCell ref="B66:B67"/>
    <mergeCell ref="C66:C67"/>
    <mergeCell ref="D66:D67"/>
    <mergeCell ref="E66:E67"/>
    <mergeCell ref="B78:B82"/>
    <mergeCell ref="B83:B87"/>
    <mergeCell ref="G78:G97"/>
    <mergeCell ref="F66:H66"/>
    <mergeCell ref="B70:N70"/>
    <mergeCell ref="B71:F71"/>
    <mergeCell ref="B72:F72"/>
    <mergeCell ref="B73:F73"/>
    <mergeCell ref="B75:G75"/>
    <mergeCell ref="I66:K66"/>
    <mergeCell ref="L66:N66"/>
    <mergeCell ref="L68:N69"/>
    <mergeCell ref="B74:F74"/>
    <mergeCell ref="C102:G102"/>
    <mergeCell ref="C103:G103"/>
    <mergeCell ref="B105:H105"/>
    <mergeCell ref="B88:B92"/>
    <mergeCell ref="B93:B97"/>
    <mergeCell ref="B98:G98"/>
    <mergeCell ref="B99:G99"/>
    <mergeCell ref="B100:G100"/>
    <mergeCell ref="B101:D101"/>
  </mergeCells>
  <pageMargins left="0.70866141732283472" right="0.70866141732283472" top="0.74803149606299213" bottom="0.74803149606299213" header="0.31496062992125984" footer="0.31496062992125984"/>
  <pageSetup scale="24" fitToWidth="70" fitToHeight="2" orientation="portrait" horizontalDpi="1200" verticalDpi="1200" r:id="rId1"/>
  <rowBreaks count="1" manualBreakCount="1">
    <brk id="74"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54DD8-8FD5-49EE-AA3C-C26BC1391511}">
  <dimension ref="A1:N108"/>
  <sheetViews>
    <sheetView view="pageBreakPreview" topLeftCell="A14" zoomScale="45" zoomScaleNormal="62" zoomScaleSheetLayoutView="64" workbookViewId="0">
      <selection activeCell="E92" sqref="E92"/>
    </sheetView>
  </sheetViews>
  <sheetFormatPr defaultColWidth="8.6640625" defaultRowHeight="14.4" x14ac:dyDescent="0.3"/>
  <cols>
    <col min="2" max="2" width="58.33203125" customWidth="1"/>
    <col min="3" max="3" width="81" customWidth="1"/>
    <col min="4" max="4" width="73.109375" customWidth="1"/>
    <col min="5" max="5" width="27.6640625" customWidth="1"/>
    <col min="6" max="7" width="12" customWidth="1"/>
    <col min="8" max="8" width="22.6640625" customWidth="1"/>
    <col min="9" max="9" width="18.5546875" customWidth="1"/>
    <col min="10" max="10" width="26.109375" customWidth="1"/>
    <col min="11" max="11" width="12.88671875" bestFit="1" customWidth="1"/>
    <col min="13" max="17" width="8.6640625" customWidth="1"/>
  </cols>
  <sheetData>
    <row r="1" spans="1:14" ht="20.25" customHeight="1" x14ac:dyDescent="0.3">
      <c r="A1" s="246" t="s">
        <v>0</v>
      </c>
      <c r="B1" s="246"/>
      <c r="C1" s="1"/>
      <c r="D1" s="2"/>
      <c r="E1" s="1"/>
      <c r="F1" s="1"/>
      <c r="G1" s="1"/>
      <c r="H1" s="1"/>
      <c r="I1" s="1"/>
      <c r="J1" s="1"/>
      <c r="K1" s="1"/>
      <c r="L1" s="1"/>
      <c r="M1" s="1"/>
      <c r="N1" s="1"/>
    </row>
    <row r="2" spans="1:14" ht="21" x14ac:dyDescent="0.3">
      <c r="A2" s="1"/>
      <c r="B2" s="1"/>
      <c r="C2" s="1"/>
      <c r="D2" s="1"/>
      <c r="E2" s="1"/>
      <c r="F2" s="1"/>
      <c r="G2" s="1"/>
      <c r="H2" s="1"/>
      <c r="I2" s="1"/>
      <c r="J2" s="1"/>
      <c r="K2" s="1"/>
      <c r="L2" s="1"/>
      <c r="M2" s="1"/>
      <c r="N2" s="1"/>
    </row>
    <row r="3" spans="1:14" ht="40.799999999999997" x14ac:dyDescent="0.3">
      <c r="A3" s="3" t="s">
        <v>1</v>
      </c>
      <c r="B3" s="54" t="s">
        <v>2</v>
      </c>
      <c r="C3" s="300" t="s">
        <v>530</v>
      </c>
      <c r="D3" s="300"/>
      <c r="E3" s="300"/>
      <c r="F3" s="1"/>
      <c r="G3" s="1"/>
      <c r="H3" s="1"/>
      <c r="I3" s="1"/>
      <c r="J3" s="1"/>
      <c r="K3" s="1"/>
      <c r="L3" s="1"/>
      <c r="M3" s="1"/>
      <c r="N3" s="1"/>
    </row>
    <row r="4" spans="1:14" ht="21" x14ac:dyDescent="0.3">
      <c r="A4" s="1"/>
      <c r="B4" s="1"/>
      <c r="C4" s="1"/>
      <c r="D4" s="22"/>
      <c r="E4" s="1"/>
      <c r="F4" s="1"/>
      <c r="G4" s="1"/>
      <c r="H4" s="1"/>
      <c r="I4" s="1"/>
      <c r="J4" s="1"/>
      <c r="K4" s="1"/>
      <c r="L4" s="1"/>
      <c r="M4" s="1"/>
      <c r="N4" s="1"/>
    </row>
    <row r="5" spans="1:14" ht="21" x14ac:dyDescent="0.3">
      <c r="A5" s="62">
        <v>1</v>
      </c>
      <c r="B5" s="63" t="s">
        <v>3</v>
      </c>
      <c r="C5" s="247" t="s">
        <v>531</v>
      </c>
      <c r="D5" s="248"/>
      <c r="E5" s="249"/>
      <c r="F5" s="1"/>
      <c r="G5" s="1"/>
      <c r="H5" s="1"/>
      <c r="I5" s="1"/>
      <c r="J5" s="1"/>
      <c r="K5" s="1"/>
      <c r="L5" s="1"/>
      <c r="M5" s="1"/>
      <c r="N5" s="1"/>
    </row>
    <row r="6" spans="1:14" ht="21" x14ac:dyDescent="0.3">
      <c r="A6" s="3"/>
      <c r="B6" s="250" t="s">
        <v>4</v>
      </c>
      <c r="C6" s="251"/>
      <c r="D6" s="252"/>
      <c r="E6" s="10"/>
      <c r="F6" s="1"/>
      <c r="G6" s="1"/>
      <c r="H6" s="1"/>
      <c r="I6" s="1"/>
      <c r="J6" s="1"/>
      <c r="K6" s="1"/>
      <c r="L6" s="1"/>
      <c r="M6" s="1"/>
      <c r="N6" s="1"/>
    </row>
    <row r="7" spans="1:14" ht="21" x14ac:dyDescent="0.3">
      <c r="A7" s="3"/>
      <c r="B7" s="2"/>
      <c r="C7" s="1"/>
      <c r="D7" s="22"/>
      <c r="E7" s="1"/>
      <c r="F7" s="1"/>
      <c r="G7" s="1"/>
      <c r="H7" s="1"/>
      <c r="I7" s="1"/>
      <c r="J7" s="1"/>
      <c r="K7" s="1"/>
      <c r="L7" s="1"/>
      <c r="M7" s="1"/>
      <c r="N7" s="1"/>
    </row>
    <row r="8" spans="1:14" ht="21" x14ac:dyDescent="0.3">
      <c r="A8" s="3">
        <v>2</v>
      </c>
      <c r="B8" s="63" t="s">
        <v>5</v>
      </c>
      <c r="C8" s="12" t="s">
        <v>532</v>
      </c>
      <c r="D8" s="22"/>
      <c r="E8" s="1"/>
      <c r="F8" s="1"/>
      <c r="G8" s="1"/>
      <c r="H8" s="1"/>
      <c r="I8" s="1"/>
      <c r="J8" s="1"/>
      <c r="K8" s="1"/>
      <c r="L8" s="1"/>
      <c r="M8" s="1"/>
      <c r="N8" s="1"/>
    </row>
    <row r="9" spans="1:14" ht="21" x14ac:dyDescent="0.3">
      <c r="A9" s="3"/>
      <c r="B9" s="250" t="s">
        <v>4</v>
      </c>
      <c r="C9" s="251"/>
      <c r="D9" s="252"/>
      <c r="E9" s="1"/>
      <c r="F9" s="1"/>
      <c r="G9" s="1"/>
      <c r="H9" s="1"/>
      <c r="I9" s="1"/>
      <c r="J9" s="1"/>
      <c r="K9" s="1"/>
      <c r="L9" s="1"/>
      <c r="M9" s="1"/>
      <c r="N9" s="1"/>
    </row>
    <row r="10" spans="1:14" ht="21" x14ac:dyDescent="0.3">
      <c r="A10" s="3"/>
      <c r="B10" s="2"/>
      <c r="C10" s="1"/>
      <c r="D10" s="22"/>
      <c r="E10" s="1"/>
      <c r="F10" s="1"/>
      <c r="G10" s="1"/>
      <c r="H10" s="1"/>
      <c r="I10" s="1"/>
      <c r="J10" s="1"/>
      <c r="K10" s="1"/>
      <c r="L10" s="1"/>
      <c r="M10" s="1"/>
      <c r="N10" s="1"/>
    </row>
    <row r="11" spans="1:14" ht="40.950000000000003" customHeight="1" x14ac:dyDescent="0.3">
      <c r="A11" s="3">
        <v>3</v>
      </c>
      <c r="B11" s="63" t="s">
        <v>6</v>
      </c>
      <c r="C11" s="247" t="s">
        <v>90</v>
      </c>
      <c r="D11" s="248"/>
      <c r="E11" s="249"/>
      <c r="F11" s="1"/>
      <c r="G11" s="1"/>
      <c r="H11" s="1"/>
      <c r="I11" s="1"/>
      <c r="J11" s="1"/>
      <c r="K11" s="1"/>
      <c r="L11" s="1"/>
      <c r="M11" s="1"/>
      <c r="N11" s="1"/>
    </row>
    <row r="12" spans="1:14" ht="21" x14ac:dyDescent="0.3">
      <c r="A12" s="3"/>
      <c r="B12" s="250" t="s">
        <v>4</v>
      </c>
      <c r="C12" s="251"/>
      <c r="D12" s="252"/>
      <c r="E12" s="10"/>
      <c r="F12" s="1"/>
      <c r="G12" s="1"/>
      <c r="H12" s="1"/>
      <c r="I12" s="1"/>
      <c r="J12" s="1"/>
      <c r="K12" s="1"/>
      <c r="L12" s="1"/>
      <c r="M12" s="1"/>
      <c r="N12" s="1"/>
    </row>
    <row r="13" spans="1:14" ht="21" x14ac:dyDescent="0.3">
      <c r="A13" s="3"/>
      <c r="B13" s="2"/>
      <c r="C13" s="1"/>
      <c r="D13" s="22"/>
      <c r="E13" s="1"/>
      <c r="F13" s="1"/>
      <c r="G13" s="1"/>
      <c r="H13" s="1"/>
      <c r="I13" s="1"/>
      <c r="J13" s="1"/>
      <c r="K13" s="1"/>
      <c r="L13" s="1"/>
      <c r="M13" s="1"/>
      <c r="N13" s="1"/>
    </row>
    <row r="14" spans="1:14" ht="21" x14ac:dyDescent="0.3">
      <c r="A14" s="3">
        <v>4</v>
      </c>
      <c r="B14" s="54" t="s">
        <v>92</v>
      </c>
      <c r="C14" s="247" t="s">
        <v>90</v>
      </c>
      <c r="D14" s="248"/>
      <c r="E14" s="249"/>
      <c r="F14" s="1"/>
      <c r="G14" s="1"/>
      <c r="H14" s="1"/>
      <c r="I14" s="1"/>
      <c r="J14" s="1"/>
      <c r="K14" s="1"/>
      <c r="L14" s="1"/>
      <c r="M14" s="1"/>
      <c r="N14" s="1"/>
    </row>
    <row r="15" spans="1:14" ht="21" x14ac:dyDescent="0.3">
      <c r="A15" s="3"/>
      <c r="B15" s="250" t="s">
        <v>4</v>
      </c>
      <c r="C15" s="251"/>
      <c r="D15" s="252"/>
      <c r="E15" s="1"/>
      <c r="F15" s="1"/>
      <c r="G15" s="1"/>
      <c r="H15" s="1"/>
      <c r="I15" s="1"/>
      <c r="J15" s="1"/>
      <c r="K15" s="1"/>
      <c r="L15" s="1"/>
      <c r="M15" s="1"/>
      <c r="N15" s="1"/>
    </row>
    <row r="16" spans="1:14" ht="21" x14ac:dyDescent="0.3">
      <c r="A16" s="3">
        <v>4</v>
      </c>
      <c r="B16" s="54" t="s">
        <v>7</v>
      </c>
      <c r="C16" s="5" t="s">
        <v>582</v>
      </c>
      <c r="D16" s="22"/>
      <c r="E16" s="1"/>
      <c r="F16" s="1"/>
      <c r="G16" s="1"/>
      <c r="H16" s="1"/>
      <c r="I16" s="1"/>
      <c r="J16" s="1"/>
      <c r="K16" s="1"/>
      <c r="L16" s="1"/>
      <c r="M16" s="1"/>
      <c r="N16" s="1"/>
    </row>
    <row r="17" spans="1:14" ht="21" x14ac:dyDescent="0.3">
      <c r="A17" s="3"/>
      <c r="B17" s="253" t="s">
        <v>8</v>
      </c>
      <c r="C17" s="254"/>
      <c r="D17" s="22"/>
      <c r="E17" s="1"/>
      <c r="F17" s="1"/>
      <c r="G17" s="1"/>
      <c r="H17" s="1"/>
      <c r="I17" s="1"/>
      <c r="J17" s="1"/>
      <c r="K17" s="1"/>
      <c r="L17" s="1"/>
      <c r="M17" s="1"/>
      <c r="N17" s="1"/>
    </row>
    <row r="18" spans="1:14" ht="21" x14ac:dyDescent="0.3">
      <c r="A18" s="3"/>
      <c r="B18" s="1"/>
      <c r="C18" s="1"/>
      <c r="D18" s="22"/>
      <c r="E18" s="1"/>
      <c r="F18" s="1"/>
      <c r="G18" s="1"/>
      <c r="H18" s="1"/>
      <c r="I18" s="1"/>
      <c r="J18" s="1"/>
      <c r="K18" s="1"/>
      <c r="L18" s="1"/>
      <c r="M18" s="1"/>
      <c r="N18" s="1"/>
    </row>
    <row r="19" spans="1:14" ht="21" x14ac:dyDescent="0.3">
      <c r="A19" s="3">
        <v>5</v>
      </c>
      <c r="B19" s="255" t="s">
        <v>9</v>
      </c>
      <c r="C19" s="256"/>
      <c r="D19" s="256"/>
      <c r="E19" s="257"/>
      <c r="F19" s="2"/>
      <c r="G19" s="2"/>
      <c r="H19" s="2"/>
      <c r="I19" s="2"/>
      <c r="J19" s="10"/>
      <c r="K19" s="10"/>
      <c r="L19" s="10"/>
      <c r="M19" s="10"/>
      <c r="N19" s="10"/>
    </row>
    <row r="20" spans="1:14" ht="21" x14ac:dyDescent="0.3">
      <c r="A20" s="3"/>
      <c r="B20" s="65" t="s">
        <v>10</v>
      </c>
      <c r="C20" s="243">
        <v>2E-3</v>
      </c>
      <c r="D20" s="244"/>
      <c r="E20" s="245"/>
      <c r="F20" s="66"/>
      <c r="G20" s="10"/>
      <c r="H20" s="10"/>
      <c r="I20" s="10"/>
      <c r="J20" s="10"/>
      <c r="K20" s="10"/>
      <c r="L20" s="10"/>
      <c r="M20" s="10"/>
      <c r="N20" s="10"/>
    </row>
    <row r="21" spans="1:14" ht="61.2" x14ac:dyDescent="0.3">
      <c r="A21" s="3"/>
      <c r="B21" s="65" t="s">
        <v>511</v>
      </c>
      <c r="C21" s="243" t="s">
        <v>559</v>
      </c>
      <c r="D21" s="244"/>
      <c r="E21" s="245"/>
      <c r="F21" s="66"/>
      <c r="G21" s="10"/>
      <c r="H21" s="1"/>
      <c r="I21" s="10"/>
      <c r="J21" s="10"/>
      <c r="K21" s="10"/>
      <c r="L21" s="10"/>
      <c r="M21" s="10"/>
      <c r="N21" s="10"/>
    </row>
    <row r="22" spans="1:14" ht="21" x14ac:dyDescent="0.3">
      <c r="A22" s="3"/>
      <c r="B22" s="65" t="s">
        <v>474</v>
      </c>
      <c r="C22" s="243" t="s">
        <v>559</v>
      </c>
      <c r="D22" s="244"/>
      <c r="E22" s="245"/>
      <c r="F22" s="66"/>
      <c r="G22" s="10"/>
      <c r="H22" s="10"/>
      <c r="I22" s="10"/>
      <c r="J22" s="10"/>
      <c r="K22" s="10"/>
      <c r="L22" s="10"/>
      <c r="M22" s="10"/>
      <c r="N22" s="10"/>
    </row>
    <row r="23" spans="1:14" ht="21" x14ac:dyDescent="0.3">
      <c r="A23" s="3"/>
      <c r="B23" s="64" t="s">
        <v>475</v>
      </c>
      <c r="C23" s="243" t="s">
        <v>559</v>
      </c>
      <c r="D23" s="244"/>
      <c r="E23" s="245"/>
      <c r="F23" s="66"/>
      <c r="G23" s="10"/>
      <c r="H23" s="10"/>
      <c r="I23" s="10"/>
      <c r="J23" s="10"/>
      <c r="K23" s="10"/>
      <c r="L23" s="10"/>
      <c r="M23" s="10"/>
      <c r="N23" s="10"/>
    </row>
    <row r="24" spans="1:14" ht="21" x14ac:dyDescent="0.3">
      <c r="A24" s="3"/>
      <c r="B24" s="67" t="s">
        <v>476</v>
      </c>
      <c r="C24" s="401" t="s">
        <v>15</v>
      </c>
      <c r="D24" s="401"/>
      <c r="E24" s="401"/>
      <c r="F24" s="66"/>
      <c r="G24" s="10"/>
      <c r="H24" s="10"/>
      <c r="I24" s="10"/>
      <c r="J24" s="10"/>
      <c r="K24" s="10"/>
      <c r="L24" s="10"/>
      <c r="M24" s="10"/>
      <c r="N24" s="10"/>
    </row>
    <row r="25" spans="1:14" ht="21" x14ac:dyDescent="0.3">
      <c r="A25" s="3"/>
      <c r="B25" s="66" t="s">
        <v>347</v>
      </c>
      <c r="C25" s="66"/>
      <c r="D25" s="66"/>
      <c r="E25" s="66"/>
      <c r="F25" s="66"/>
      <c r="G25" s="10"/>
      <c r="H25" s="10"/>
      <c r="I25" s="10"/>
      <c r="J25" s="10"/>
      <c r="K25" s="10"/>
      <c r="L25" s="10"/>
      <c r="M25" s="10"/>
      <c r="N25" s="10"/>
    </row>
    <row r="26" spans="1:14" ht="21" x14ac:dyDescent="0.3">
      <c r="A26" s="3">
        <v>6</v>
      </c>
      <c r="B26" s="261" t="s">
        <v>74</v>
      </c>
      <c r="C26" s="262"/>
      <c r="D26" s="262"/>
      <c r="E26" s="263"/>
      <c r="F26" s="2"/>
      <c r="G26" s="2"/>
      <c r="H26" s="10"/>
      <c r="I26" s="2"/>
      <c r="J26" s="2"/>
      <c r="K26" s="1"/>
      <c r="L26" s="1"/>
      <c r="M26" s="1"/>
      <c r="N26" s="1"/>
    </row>
    <row r="27" spans="1:14" ht="21" x14ac:dyDescent="0.3">
      <c r="A27" s="3"/>
      <c r="B27" s="264" t="s">
        <v>17</v>
      </c>
      <c r="C27" s="265"/>
      <c r="D27" s="265"/>
      <c r="E27" s="266"/>
      <c r="F27" s="66"/>
      <c r="G27" s="1"/>
      <c r="H27" s="1"/>
      <c r="I27" s="1"/>
      <c r="J27" s="1"/>
      <c r="K27" s="1"/>
      <c r="L27" s="1"/>
      <c r="M27" s="1"/>
      <c r="N27" s="1"/>
    </row>
    <row r="28" spans="1:14" ht="21" x14ac:dyDescent="0.3">
      <c r="A28" s="3"/>
      <c r="B28" s="67" t="s">
        <v>18</v>
      </c>
      <c r="C28" s="25" t="s">
        <v>477</v>
      </c>
      <c r="D28" s="25" t="s">
        <v>478</v>
      </c>
      <c r="E28" s="25" t="s">
        <v>479</v>
      </c>
      <c r="F28" s="66"/>
      <c r="G28" s="1"/>
      <c r="H28" s="1"/>
      <c r="I28" s="1"/>
      <c r="J28" s="1"/>
      <c r="K28" s="1"/>
      <c r="L28" s="1"/>
      <c r="M28" s="1"/>
      <c r="N28" s="1"/>
    </row>
    <row r="29" spans="1:14" ht="20.7" customHeight="1" x14ac:dyDescent="0.3">
      <c r="A29" s="3"/>
      <c r="B29" s="68" t="s">
        <v>21</v>
      </c>
      <c r="C29" s="5">
        <v>322.52</v>
      </c>
      <c r="D29" s="125">
        <v>599.47</v>
      </c>
      <c r="E29" s="267" t="s">
        <v>22</v>
      </c>
      <c r="F29" s="66"/>
      <c r="G29" s="1"/>
      <c r="H29" s="1"/>
      <c r="I29" s="1"/>
      <c r="J29" s="1"/>
      <c r="K29" s="1"/>
      <c r="L29" s="1"/>
      <c r="M29" s="1"/>
      <c r="N29" s="1"/>
    </row>
    <row r="30" spans="1:14" ht="21" x14ac:dyDescent="0.3">
      <c r="A30" s="3"/>
      <c r="B30" s="68" t="s">
        <v>23</v>
      </c>
      <c r="C30" s="5">
        <v>53.59</v>
      </c>
      <c r="D30" s="125">
        <v>8.68</v>
      </c>
      <c r="E30" s="268"/>
      <c r="F30" s="66"/>
      <c r="G30" s="1"/>
      <c r="H30" s="1"/>
      <c r="I30" s="1"/>
      <c r="J30" s="1"/>
      <c r="K30" s="1"/>
      <c r="L30" s="1"/>
      <c r="M30" s="1"/>
      <c r="N30" s="1"/>
    </row>
    <row r="31" spans="1:14" ht="21" x14ac:dyDescent="0.3">
      <c r="A31" s="3"/>
      <c r="B31" s="68" t="s">
        <v>24</v>
      </c>
      <c r="C31" s="5">
        <v>607.04</v>
      </c>
      <c r="D31" s="125">
        <v>607.04</v>
      </c>
      <c r="E31" s="268"/>
      <c r="F31" s="66"/>
      <c r="G31" s="1"/>
      <c r="H31" s="57"/>
      <c r="I31" s="1"/>
      <c r="J31" s="1"/>
      <c r="K31" s="1"/>
      <c r="L31" s="1"/>
      <c r="M31" s="1"/>
      <c r="N31" s="1"/>
    </row>
    <row r="32" spans="1:14" ht="21" x14ac:dyDescent="0.3">
      <c r="A32" s="3"/>
      <c r="B32" s="68" t="s">
        <v>25</v>
      </c>
      <c r="C32" s="5">
        <v>329.42</v>
      </c>
      <c r="D32" s="81">
        <v>338.1</v>
      </c>
      <c r="E32" s="269"/>
      <c r="F32" s="66"/>
      <c r="G32" s="1"/>
      <c r="H32" s="1"/>
      <c r="I32" s="1"/>
      <c r="J32" s="1"/>
      <c r="K32" s="1"/>
      <c r="L32" s="1"/>
      <c r="M32" s="1"/>
      <c r="N32" s="1"/>
    </row>
    <row r="33" spans="1:14" ht="21" x14ac:dyDescent="0.3">
      <c r="A33" s="3"/>
      <c r="B33" s="253" t="s">
        <v>193</v>
      </c>
      <c r="C33" s="270"/>
      <c r="D33" s="270"/>
      <c r="E33" s="254"/>
      <c r="F33" s="66"/>
      <c r="G33" s="1"/>
      <c r="H33" s="1"/>
      <c r="I33" s="1"/>
      <c r="J33" s="1"/>
      <c r="K33" s="1"/>
      <c r="L33" s="1"/>
      <c r="M33" s="1"/>
      <c r="N33" s="1"/>
    </row>
    <row r="34" spans="1:14" ht="21" x14ac:dyDescent="0.3">
      <c r="A34" s="3"/>
      <c r="B34" s="10"/>
      <c r="C34" s="66"/>
      <c r="D34" s="66"/>
      <c r="E34" s="66"/>
      <c r="F34" s="66"/>
      <c r="G34" s="1"/>
      <c r="H34" s="1"/>
      <c r="I34" s="1"/>
      <c r="J34" s="1"/>
      <c r="K34" s="1"/>
      <c r="L34" s="1"/>
      <c r="M34" s="1"/>
      <c r="N34" s="1"/>
    </row>
    <row r="35" spans="1:14" ht="41.7" customHeight="1" x14ac:dyDescent="0.3">
      <c r="A35" s="3">
        <v>7</v>
      </c>
      <c r="B35" s="261" t="s">
        <v>26</v>
      </c>
      <c r="C35" s="262"/>
      <c r="D35" s="262"/>
      <c r="E35" s="263"/>
      <c r="F35" s="2"/>
      <c r="G35" s="2"/>
      <c r="H35" s="2"/>
      <c r="I35" s="2"/>
      <c r="J35" s="2"/>
      <c r="K35" s="1"/>
      <c r="L35" s="1"/>
      <c r="M35" s="1"/>
      <c r="N35" s="1"/>
    </row>
    <row r="36" spans="1:14" ht="21" x14ac:dyDescent="0.3">
      <c r="A36" s="3"/>
      <c r="B36" s="67" t="s">
        <v>247</v>
      </c>
      <c r="C36" s="27" t="s">
        <v>93</v>
      </c>
      <c r="D36" s="5"/>
      <c r="E36" s="5"/>
      <c r="F36" s="10"/>
      <c r="G36" s="1"/>
      <c r="H36" s="1"/>
      <c r="I36" s="1"/>
      <c r="J36" s="1"/>
      <c r="K36" s="1"/>
      <c r="L36" s="1"/>
      <c r="M36" s="1"/>
      <c r="N36" s="1"/>
    </row>
    <row r="37" spans="1:14" ht="21" x14ac:dyDescent="0.3">
      <c r="A37" s="3"/>
      <c r="B37" s="67" t="s">
        <v>28</v>
      </c>
      <c r="C37" s="27" t="s">
        <v>93</v>
      </c>
      <c r="D37" s="10"/>
      <c r="E37" s="10"/>
      <c r="F37" s="10"/>
      <c r="G37" s="1"/>
      <c r="H37" s="1"/>
      <c r="I37" s="1"/>
      <c r="J37" s="1"/>
      <c r="K37" s="1"/>
      <c r="L37" s="1"/>
      <c r="M37" s="1"/>
      <c r="N37" s="1"/>
    </row>
    <row r="38" spans="1:14" ht="21" x14ac:dyDescent="0.3">
      <c r="A38" s="3"/>
      <c r="B38" s="67" t="s">
        <v>29</v>
      </c>
      <c r="C38" s="27" t="s">
        <v>15</v>
      </c>
      <c r="D38" s="10"/>
      <c r="E38" s="10"/>
      <c r="F38" s="10"/>
      <c r="G38" s="1"/>
      <c r="H38" s="1"/>
      <c r="I38" s="1"/>
      <c r="J38" s="1"/>
      <c r="K38" s="1"/>
      <c r="L38" s="1"/>
      <c r="M38" s="1"/>
      <c r="N38" s="1"/>
    </row>
    <row r="39" spans="1:14" ht="42" customHeight="1" x14ac:dyDescent="0.3">
      <c r="A39" s="3"/>
      <c r="B39" s="271" t="s">
        <v>555</v>
      </c>
      <c r="C39" s="271"/>
      <c r="D39" s="271"/>
      <c r="E39" s="10"/>
      <c r="F39" s="10"/>
      <c r="G39" s="1"/>
      <c r="H39" s="1"/>
      <c r="I39" s="1"/>
      <c r="J39" s="1"/>
      <c r="K39" s="1"/>
      <c r="L39" s="1"/>
      <c r="M39" s="1"/>
      <c r="N39" s="1"/>
    </row>
    <row r="40" spans="1:14" ht="21" x14ac:dyDescent="0.3">
      <c r="A40" s="3"/>
      <c r="B40" s="66"/>
      <c r="C40" s="10"/>
      <c r="D40" s="10"/>
      <c r="E40" s="10"/>
      <c r="F40" s="10"/>
      <c r="G40" s="1"/>
      <c r="H40" s="1"/>
      <c r="I40" s="1"/>
      <c r="J40" s="1"/>
      <c r="K40" s="1"/>
      <c r="L40" s="1"/>
      <c r="M40" s="1"/>
      <c r="N40" s="1"/>
    </row>
    <row r="41" spans="1:14" ht="21" x14ac:dyDescent="0.3">
      <c r="A41" s="3">
        <v>8</v>
      </c>
      <c r="B41" s="261" t="s">
        <v>30</v>
      </c>
      <c r="C41" s="262"/>
      <c r="D41" s="262"/>
      <c r="E41" s="263"/>
      <c r="F41" s="2"/>
      <c r="G41" s="2"/>
      <c r="H41" s="2"/>
      <c r="I41" s="2"/>
      <c r="J41" s="2"/>
      <c r="K41" s="1"/>
      <c r="L41" s="1"/>
      <c r="M41" s="1"/>
      <c r="N41" s="1"/>
    </row>
    <row r="42" spans="1:14" ht="21" x14ac:dyDescent="0.3">
      <c r="A42" s="3"/>
      <c r="B42" s="67" t="s">
        <v>31</v>
      </c>
      <c r="C42" s="258" t="s">
        <v>11</v>
      </c>
      <c r="D42" s="259"/>
      <c r="E42" s="260"/>
      <c r="F42" s="10"/>
      <c r="G42" s="1"/>
      <c r="H42" s="1"/>
      <c r="I42" s="1"/>
      <c r="J42" s="1"/>
      <c r="K42" s="1"/>
      <c r="L42" s="1"/>
      <c r="M42" s="1"/>
      <c r="N42" s="1"/>
    </row>
    <row r="43" spans="1:14" ht="21" x14ac:dyDescent="0.3">
      <c r="A43" s="3"/>
      <c r="B43" s="67" t="s">
        <v>28</v>
      </c>
      <c r="C43" s="258" t="s">
        <v>975</v>
      </c>
      <c r="D43" s="259"/>
      <c r="E43" s="260"/>
      <c r="F43" s="10"/>
      <c r="G43" s="1"/>
      <c r="H43" s="1"/>
      <c r="I43" s="1"/>
      <c r="J43" s="1"/>
      <c r="K43" s="1"/>
      <c r="L43" s="1"/>
      <c r="M43" s="1"/>
      <c r="N43" s="1"/>
    </row>
    <row r="44" spans="1:14" ht="21" x14ac:dyDescent="0.3">
      <c r="A44" s="3"/>
      <c r="B44" s="67" t="s">
        <v>29</v>
      </c>
      <c r="C44" s="258" t="s">
        <v>15</v>
      </c>
      <c r="D44" s="259"/>
      <c r="E44" s="260"/>
      <c r="F44" s="10"/>
      <c r="G44" s="1"/>
      <c r="H44" s="1"/>
      <c r="I44" s="1"/>
      <c r="J44" s="1"/>
      <c r="K44" s="1"/>
      <c r="L44" s="1"/>
      <c r="M44" s="1"/>
      <c r="N44" s="1"/>
    </row>
    <row r="45" spans="1:14" ht="21" x14ac:dyDescent="0.3">
      <c r="A45" s="3"/>
      <c r="B45" s="253" t="s">
        <v>192</v>
      </c>
      <c r="C45" s="270"/>
      <c r="D45" s="270"/>
      <c r="E45" s="254"/>
      <c r="F45" s="10"/>
      <c r="G45" s="1"/>
      <c r="H45" s="1"/>
      <c r="I45" s="1"/>
      <c r="J45" s="1"/>
      <c r="K45" s="1"/>
      <c r="L45" s="1"/>
      <c r="M45" s="1"/>
      <c r="N45" s="1"/>
    </row>
    <row r="46" spans="1:14" ht="21" x14ac:dyDescent="0.3">
      <c r="A46" s="3"/>
      <c r="B46" s="1"/>
      <c r="C46" s="1"/>
      <c r="D46" s="22"/>
      <c r="E46" s="10"/>
      <c r="F46" s="1"/>
      <c r="G46" s="1"/>
      <c r="H46" s="1"/>
      <c r="I46" s="1"/>
      <c r="J46" s="1"/>
      <c r="K46" s="1"/>
      <c r="L46" s="1"/>
      <c r="M46" s="1"/>
      <c r="N46" s="1"/>
    </row>
    <row r="47" spans="1:14" ht="83.4" customHeight="1" x14ac:dyDescent="0.3">
      <c r="A47" s="191">
        <v>9</v>
      </c>
      <c r="B47" s="262" t="s">
        <v>32</v>
      </c>
      <c r="C47" s="262"/>
      <c r="D47" s="262"/>
      <c r="E47" s="263"/>
      <c r="F47" s="2"/>
      <c r="G47" s="2"/>
      <c r="H47" s="2"/>
      <c r="I47" s="2"/>
      <c r="J47" s="1"/>
      <c r="K47" s="1"/>
      <c r="L47" s="1"/>
      <c r="M47" s="1"/>
      <c r="N47" s="1"/>
    </row>
    <row r="48" spans="1:14" ht="81.599999999999994" x14ac:dyDescent="0.3">
      <c r="A48" s="191"/>
      <c r="B48" s="24" t="s">
        <v>33</v>
      </c>
      <c r="C48" s="25" t="s">
        <v>34</v>
      </c>
      <c r="D48" s="25" t="s">
        <v>96</v>
      </c>
      <c r="E48" s="25" t="s">
        <v>35</v>
      </c>
      <c r="F48" s="1"/>
      <c r="G48" s="1"/>
      <c r="H48" s="1"/>
      <c r="I48" s="1"/>
      <c r="J48" s="1"/>
      <c r="K48" s="1"/>
      <c r="L48" s="1"/>
      <c r="M48" s="1"/>
      <c r="N48" s="1"/>
    </row>
    <row r="49" spans="1:14" ht="166.2" customHeight="1" x14ac:dyDescent="0.3">
      <c r="A49" s="191"/>
      <c r="B49" s="189" t="s">
        <v>533</v>
      </c>
      <c r="C49" s="68" t="s">
        <v>534</v>
      </c>
      <c r="D49" s="68" t="s">
        <v>976</v>
      </c>
      <c r="E49" s="27" t="s">
        <v>121</v>
      </c>
      <c r="F49" s="1"/>
      <c r="G49" s="1"/>
      <c r="H49" s="1"/>
      <c r="I49" s="1"/>
      <c r="J49" s="1"/>
      <c r="K49" s="1"/>
      <c r="L49" s="1"/>
      <c r="M49" s="1"/>
      <c r="N49" s="1"/>
    </row>
    <row r="50" spans="1:14" ht="21" x14ac:dyDescent="0.4">
      <c r="A50" s="191"/>
      <c r="B50" s="290" t="s">
        <v>977</v>
      </c>
      <c r="C50" s="290"/>
      <c r="D50" s="290"/>
      <c r="E50" s="291"/>
      <c r="F50" s="1"/>
      <c r="G50" s="1"/>
      <c r="H50" s="1"/>
      <c r="I50" s="1"/>
      <c r="J50" s="1"/>
      <c r="K50" s="1"/>
      <c r="L50" s="1"/>
      <c r="M50" s="1"/>
      <c r="N50" s="1"/>
    </row>
    <row r="51" spans="1:14" ht="21" hidden="1" x14ac:dyDescent="0.3">
      <c r="A51" s="191"/>
      <c r="B51" s="103" t="s">
        <v>690</v>
      </c>
      <c r="C51" s="87"/>
      <c r="D51" s="87"/>
      <c r="E51" s="87"/>
      <c r="F51" s="1"/>
      <c r="G51" s="1"/>
      <c r="H51" s="1"/>
      <c r="I51" s="1"/>
      <c r="J51" s="1"/>
      <c r="K51" s="1"/>
      <c r="L51" s="1"/>
      <c r="M51" s="1"/>
      <c r="N51" s="1"/>
    </row>
    <row r="52" spans="1:14" ht="21" x14ac:dyDescent="0.3">
      <c r="A52" s="191"/>
      <c r="B52" s="28"/>
      <c r="C52" s="22"/>
      <c r="D52" s="22"/>
      <c r="E52" s="22"/>
      <c r="F52" s="66"/>
      <c r="G52" s="66"/>
      <c r="H52" s="66"/>
      <c r="I52" s="66"/>
      <c r="J52" s="1"/>
      <c r="K52" s="1"/>
      <c r="L52" s="1"/>
      <c r="M52" s="1"/>
      <c r="N52" s="1"/>
    </row>
    <row r="53" spans="1:14" ht="43.2" customHeight="1" x14ac:dyDescent="0.3">
      <c r="A53" s="191">
        <v>10</v>
      </c>
      <c r="B53" s="262" t="s">
        <v>32</v>
      </c>
      <c r="C53" s="262"/>
      <c r="D53" s="262"/>
      <c r="E53" s="263"/>
      <c r="F53" s="66"/>
      <c r="G53" s="66"/>
      <c r="H53" s="66"/>
      <c r="I53" s="1"/>
      <c r="J53" s="1"/>
      <c r="K53" s="1"/>
      <c r="L53" s="1"/>
      <c r="M53" s="1"/>
      <c r="N53" s="1"/>
    </row>
    <row r="54" spans="1:14" ht="21" x14ac:dyDescent="0.3">
      <c r="A54" s="191"/>
      <c r="B54" s="275" t="s">
        <v>36</v>
      </c>
      <c r="C54" s="277" t="s">
        <v>534</v>
      </c>
      <c r="D54" s="278"/>
      <c r="E54" s="279"/>
      <c r="F54" s="1"/>
      <c r="G54" s="1"/>
      <c r="H54" s="1"/>
      <c r="I54" s="1"/>
      <c r="J54" s="1"/>
      <c r="K54" s="2"/>
      <c r="L54" s="1"/>
      <c r="M54" s="1"/>
      <c r="N54" s="1"/>
    </row>
    <row r="55" spans="1:14" ht="100.2" customHeight="1" x14ac:dyDescent="0.3">
      <c r="A55" s="191"/>
      <c r="B55" s="276"/>
      <c r="C55" s="280"/>
      <c r="D55" s="281"/>
      <c r="E55" s="282"/>
      <c r="F55" s="1"/>
      <c r="G55" s="1"/>
      <c r="H55" s="1"/>
      <c r="I55" s="1"/>
      <c r="J55" s="1"/>
      <c r="K55" s="2"/>
      <c r="L55" s="1"/>
      <c r="M55" s="1"/>
      <c r="N55" s="1"/>
    </row>
    <row r="56" spans="1:14" ht="123.6" customHeight="1" x14ac:dyDescent="0.3">
      <c r="A56" s="191"/>
      <c r="B56" s="29" t="s">
        <v>37</v>
      </c>
      <c r="C56" s="283" t="s">
        <v>976</v>
      </c>
      <c r="D56" s="284"/>
      <c r="E56" s="285"/>
      <c r="F56" s="1"/>
      <c r="G56" s="1"/>
      <c r="H56" s="1"/>
      <c r="I56" s="1"/>
      <c r="J56" s="1"/>
      <c r="K56" s="1"/>
      <c r="L56" s="1"/>
      <c r="M56" s="1"/>
      <c r="N56" s="1"/>
    </row>
    <row r="57" spans="1:14" ht="21" x14ac:dyDescent="0.3">
      <c r="A57" s="191"/>
      <c r="B57" s="29" t="s">
        <v>38</v>
      </c>
      <c r="C57" s="391"/>
      <c r="D57" s="392"/>
      <c r="E57" s="393"/>
      <c r="F57" s="1"/>
      <c r="G57" s="1"/>
      <c r="H57" s="1"/>
      <c r="I57" s="1"/>
      <c r="J57" s="1"/>
      <c r="K57" s="30"/>
      <c r="L57" s="1"/>
      <c r="M57" s="1"/>
      <c r="N57" s="1"/>
    </row>
    <row r="58" spans="1:14" ht="21" x14ac:dyDescent="0.4">
      <c r="A58" s="111" t="s">
        <v>39</v>
      </c>
      <c r="B58" s="290" t="s">
        <v>977</v>
      </c>
      <c r="C58" s="290"/>
      <c r="D58" s="290"/>
      <c r="E58" s="291"/>
      <c r="F58" s="32"/>
      <c r="G58" s="32"/>
      <c r="H58" s="32"/>
      <c r="I58" s="32"/>
      <c r="J58" s="32"/>
      <c r="K58" s="32"/>
      <c r="L58" s="32"/>
      <c r="M58" s="32"/>
      <c r="N58" s="32"/>
    </row>
    <row r="59" spans="1:14" ht="21" x14ac:dyDescent="0.3">
      <c r="A59" s="191"/>
      <c r="B59" s="73"/>
      <c r="C59" s="73"/>
      <c r="D59" s="73"/>
      <c r="E59" s="73"/>
      <c r="F59" s="73"/>
      <c r="G59" s="1"/>
      <c r="H59" s="1"/>
      <c r="I59" s="1"/>
      <c r="J59" s="1"/>
      <c r="K59" s="1"/>
      <c r="L59" s="1"/>
      <c r="M59" s="1"/>
      <c r="N59" s="1"/>
    </row>
    <row r="60" spans="1:14" ht="21" x14ac:dyDescent="0.3">
      <c r="A60" s="3">
        <v>11</v>
      </c>
      <c r="B60" s="54" t="s">
        <v>41</v>
      </c>
      <c r="C60" s="270" t="s">
        <v>121</v>
      </c>
      <c r="D60" s="270"/>
      <c r="E60" s="270"/>
      <c r="F60" s="2"/>
      <c r="G60" s="2"/>
      <c r="H60" s="74"/>
      <c r="I60" s="2"/>
      <c r="J60" s="2"/>
      <c r="K60" s="1"/>
      <c r="L60" s="1"/>
      <c r="M60" s="1"/>
      <c r="N60" s="1"/>
    </row>
    <row r="61" spans="1:14" ht="20.7" customHeight="1" x14ac:dyDescent="0.3">
      <c r="A61" s="3"/>
      <c r="B61" s="66"/>
      <c r="C61" s="270"/>
      <c r="D61" s="270"/>
      <c r="E61" s="270"/>
      <c r="F61" s="66"/>
      <c r="G61" s="66"/>
      <c r="H61" s="75"/>
      <c r="I61" s="75"/>
      <c r="J61" s="66"/>
      <c r="K61" s="1"/>
      <c r="L61" s="1"/>
      <c r="M61" s="1"/>
      <c r="N61" s="1"/>
    </row>
    <row r="62" spans="1:14" ht="21" x14ac:dyDescent="0.3">
      <c r="A62" s="76">
        <v>12</v>
      </c>
      <c r="B62" s="77" t="s">
        <v>42</v>
      </c>
      <c r="C62" s="272"/>
      <c r="D62" s="273"/>
      <c r="E62" s="274"/>
      <c r="F62" s="78"/>
      <c r="G62" s="79"/>
      <c r="H62" s="79"/>
      <c r="I62" s="79"/>
      <c r="J62" s="79"/>
      <c r="K62" s="79"/>
      <c r="L62" s="79"/>
      <c r="M62" s="79"/>
      <c r="N62" s="79"/>
    </row>
    <row r="63" spans="1:14" ht="20.399999999999999" x14ac:dyDescent="0.3">
      <c r="A63" s="3"/>
      <c r="B63" s="2"/>
      <c r="C63" s="2"/>
      <c r="D63" s="2"/>
      <c r="E63" s="74"/>
      <c r="F63" s="74"/>
      <c r="G63" s="74"/>
      <c r="H63" s="2"/>
      <c r="I63" s="2"/>
      <c r="J63" s="2"/>
      <c r="K63" s="2"/>
      <c r="L63" s="2"/>
      <c r="M63" s="2"/>
      <c r="N63" s="2"/>
    </row>
    <row r="64" spans="1:14" ht="21" x14ac:dyDescent="0.3">
      <c r="A64" s="3"/>
      <c r="B64" s="67" t="s">
        <v>43</v>
      </c>
      <c r="C64" s="68" t="s">
        <v>234</v>
      </c>
      <c r="D64" s="66"/>
      <c r="E64" s="66"/>
      <c r="F64" s="75"/>
      <c r="G64" s="75"/>
      <c r="H64" s="66"/>
      <c r="I64" s="66"/>
      <c r="J64" s="66"/>
      <c r="K64" s="66"/>
      <c r="L64" s="66"/>
      <c r="M64" s="66"/>
      <c r="N64" s="66"/>
    </row>
    <row r="65" spans="1:14" ht="20.399999999999999" x14ac:dyDescent="0.3">
      <c r="A65" s="3"/>
      <c r="B65" s="66"/>
      <c r="C65" s="66"/>
      <c r="D65" s="66"/>
      <c r="E65" s="66"/>
      <c r="F65" s="66"/>
      <c r="G65" s="66"/>
      <c r="H65" s="66"/>
      <c r="I65" s="66"/>
      <c r="J65" s="66"/>
      <c r="K65" s="66"/>
      <c r="L65" s="66"/>
      <c r="M65" s="66"/>
      <c r="N65" s="66"/>
    </row>
    <row r="66" spans="1:14" ht="87.6" customHeight="1" x14ac:dyDescent="0.3">
      <c r="A66" s="3"/>
      <c r="B66" s="295" t="s">
        <v>44</v>
      </c>
      <c r="C66" s="295" t="s">
        <v>535</v>
      </c>
      <c r="D66" s="295" t="s">
        <v>68</v>
      </c>
      <c r="E66" s="297" t="s">
        <v>45</v>
      </c>
      <c r="F66" s="292" t="s">
        <v>480</v>
      </c>
      <c r="G66" s="293"/>
      <c r="H66" s="294"/>
      <c r="I66" s="292" t="s">
        <v>481</v>
      </c>
      <c r="J66" s="293"/>
      <c r="K66" s="294"/>
      <c r="L66" s="292" t="s">
        <v>482</v>
      </c>
      <c r="M66" s="293"/>
      <c r="N66" s="294"/>
    </row>
    <row r="67" spans="1:14" ht="102" x14ac:dyDescent="0.3">
      <c r="A67" s="3"/>
      <c r="B67" s="296"/>
      <c r="C67" s="296"/>
      <c r="D67" s="296"/>
      <c r="E67" s="298"/>
      <c r="F67" s="67" t="s">
        <v>46</v>
      </c>
      <c r="G67" s="67" t="s">
        <v>47</v>
      </c>
      <c r="H67" s="67" t="s">
        <v>48</v>
      </c>
      <c r="I67" s="67" t="s">
        <v>49</v>
      </c>
      <c r="J67" s="67" t="s">
        <v>47</v>
      </c>
      <c r="K67" s="67" t="s">
        <v>48</v>
      </c>
      <c r="L67" s="67" t="s">
        <v>49</v>
      </c>
      <c r="M67" s="67" t="s">
        <v>47</v>
      </c>
      <c r="N67" s="67" t="s">
        <v>48</v>
      </c>
    </row>
    <row r="68" spans="1:14" ht="105" customHeight="1" x14ac:dyDescent="0.3">
      <c r="A68" s="3"/>
      <c r="B68" s="67" t="s">
        <v>112</v>
      </c>
      <c r="C68" s="82">
        <v>49.87</v>
      </c>
      <c r="D68" s="82">
        <v>28.01</v>
      </c>
      <c r="E68" s="82">
        <v>28.91</v>
      </c>
      <c r="F68" s="121">
        <v>16.54</v>
      </c>
      <c r="G68" s="121">
        <v>52.36</v>
      </c>
      <c r="H68" s="121">
        <v>16.010000000000002</v>
      </c>
      <c r="I68" s="121">
        <v>17.39</v>
      </c>
      <c r="J68" s="121">
        <v>25.5</v>
      </c>
      <c r="K68" s="121">
        <v>12.4</v>
      </c>
      <c r="L68" s="345" t="s">
        <v>108</v>
      </c>
      <c r="M68" s="346"/>
      <c r="N68" s="347"/>
    </row>
    <row r="69" spans="1:14" ht="40.799999999999997" x14ac:dyDescent="0.3">
      <c r="A69" s="3"/>
      <c r="B69" s="69" t="s">
        <v>113</v>
      </c>
      <c r="C69" s="82">
        <v>80905.3</v>
      </c>
      <c r="D69" s="82">
        <v>83184.800000000003</v>
      </c>
      <c r="E69" s="82">
        <v>77339.009999999995</v>
      </c>
      <c r="F69" s="51">
        <v>77414.92</v>
      </c>
      <c r="G69" s="51">
        <v>85978.25</v>
      </c>
      <c r="H69" s="51">
        <v>70234.429999999993</v>
      </c>
      <c r="I69" s="121">
        <v>71947.55</v>
      </c>
      <c r="J69" s="121">
        <v>86159.02</v>
      </c>
      <c r="K69" s="121">
        <v>71425.009999999995</v>
      </c>
      <c r="L69" s="348"/>
      <c r="M69" s="349"/>
      <c r="N69" s="350"/>
    </row>
    <row r="70" spans="1:14" ht="20.25" customHeight="1" x14ac:dyDescent="0.3">
      <c r="A70" s="3"/>
      <c r="B70" s="253" t="s">
        <v>344</v>
      </c>
      <c r="C70" s="270"/>
      <c r="D70" s="270"/>
      <c r="E70" s="270"/>
      <c r="F70" s="270"/>
      <c r="G70" s="270"/>
      <c r="H70" s="270"/>
      <c r="I70" s="270"/>
      <c r="J70" s="270"/>
      <c r="K70" s="270"/>
      <c r="L70" s="270"/>
      <c r="M70" s="270"/>
      <c r="N70" s="254"/>
    </row>
    <row r="71" spans="1:14" ht="20.25" customHeight="1" x14ac:dyDescent="0.3">
      <c r="A71" s="3"/>
      <c r="B71" s="253" t="s">
        <v>345</v>
      </c>
      <c r="C71" s="270"/>
      <c r="D71" s="270"/>
      <c r="E71" s="270"/>
      <c r="F71" s="254"/>
      <c r="G71" s="83"/>
      <c r="H71" s="83"/>
      <c r="I71" s="83"/>
      <c r="J71" s="83"/>
      <c r="K71" s="83"/>
      <c r="L71" s="83"/>
      <c r="M71" s="83"/>
      <c r="N71" s="83"/>
    </row>
    <row r="72" spans="1:14" ht="20.25" customHeight="1" x14ac:dyDescent="0.3">
      <c r="A72" s="3"/>
      <c r="B72" s="253" t="s">
        <v>70</v>
      </c>
      <c r="C72" s="270"/>
      <c r="D72" s="270"/>
      <c r="E72" s="270"/>
      <c r="F72" s="254"/>
      <c r="G72" s="83"/>
      <c r="H72" s="83"/>
      <c r="I72" s="83"/>
      <c r="J72" s="83"/>
      <c r="K72" s="83"/>
      <c r="L72" s="83"/>
      <c r="M72" s="83"/>
      <c r="N72" s="83"/>
    </row>
    <row r="73" spans="1:14" ht="21" x14ac:dyDescent="0.3">
      <c r="A73" s="3"/>
      <c r="B73" s="253" t="s">
        <v>71</v>
      </c>
      <c r="C73" s="270"/>
      <c r="D73" s="270"/>
      <c r="E73" s="270"/>
      <c r="F73" s="254"/>
      <c r="G73" s="83"/>
      <c r="H73" s="83"/>
      <c r="I73" s="83"/>
      <c r="J73" s="83"/>
      <c r="K73" s="83"/>
      <c r="L73" s="83"/>
      <c r="M73" s="83"/>
      <c r="N73" s="83"/>
    </row>
    <row r="74" spans="1:14" ht="21" x14ac:dyDescent="0.3">
      <c r="A74" s="3"/>
      <c r="B74" s="270" t="s">
        <v>978</v>
      </c>
      <c r="C74" s="270"/>
      <c r="D74" s="84"/>
      <c r="E74" s="84"/>
      <c r="F74" s="84"/>
      <c r="G74" s="10"/>
      <c r="H74" s="10"/>
      <c r="I74" s="10"/>
      <c r="J74" s="10"/>
      <c r="K74" s="10"/>
      <c r="L74" s="10"/>
      <c r="M74" s="10"/>
      <c r="N74" s="10"/>
    </row>
    <row r="75" spans="1:14" ht="39" customHeight="1" x14ac:dyDescent="0.3">
      <c r="A75" s="3">
        <v>13</v>
      </c>
      <c r="B75" s="261" t="s">
        <v>51</v>
      </c>
      <c r="C75" s="262"/>
      <c r="D75" s="262"/>
      <c r="E75" s="262"/>
      <c r="F75" s="262"/>
      <c r="G75" s="263"/>
      <c r="H75" s="2"/>
      <c r="I75" s="2"/>
      <c r="J75" s="2"/>
      <c r="K75" s="2"/>
      <c r="L75" s="2"/>
      <c r="M75" s="2"/>
      <c r="N75" s="2"/>
    </row>
    <row r="76" spans="1:14" ht="21" x14ac:dyDescent="0.3">
      <c r="A76" s="3"/>
      <c r="B76" s="1"/>
      <c r="C76" s="66"/>
      <c r="D76" s="66"/>
      <c r="E76" s="66"/>
      <c r="F76" s="66"/>
      <c r="G76" s="66"/>
      <c r="H76" s="66"/>
      <c r="I76" s="66"/>
      <c r="J76" s="66"/>
      <c r="K76" s="66"/>
      <c r="L76" s="66"/>
      <c r="M76" s="66"/>
      <c r="N76" s="66"/>
    </row>
    <row r="77" spans="1:14" ht="61.2" x14ac:dyDescent="0.3">
      <c r="A77" s="3"/>
      <c r="B77" s="25" t="s">
        <v>52</v>
      </c>
      <c r="C77" s="25" t="s">
        <v>53</v>
      </c>
      <c r="D77" s="25" t="s">
        <v>603</v>
      </c>
      <c r="E77" s="25" t="s">
        <v>54</v>
      </c>
      <c r="F77" s="25" t="s">
        <v>55</v>
      </c>
      <c r="G77" s="25" t="s">
        <v>56</v>
      </c>
      <c r="H77" s="10"/>
      <c r="I77" s="10"/>
      <c r="J77" s="10"/>
      <c r="K77" s="10"/>
      <c r="L77" s="10"/>
      <c r="M77" s="10"/>
      <c r="N77" s="10"/>
    </row>
    <row r="78" spans="1:14" ht="21" customHeight="1" x14ac:dyDescent="0.3">
      <c r="A78" s="3"/>
      <c r="B78" s="297" t="s">
        <v>72</v>
      </c>
      <c r="C78" s="54" t="s">
        <v>537</v>
      </c>
      <c r="D78" s="151">
        <v>1.92</v>
      </c>
      <c r="E78" s="88">
        <v>0.98</v>
      </c>
      <c r="F78" s="88">
        <v>0.14000000000000001</v>
      </c>
      <c r="G78" s="311" t="s">
        <v>83</v>
      </c>
      <c r="H78" s="1"/>
      <c r="I78" s="1"/>
      <c r="J78" s="1"/>
      <c r="K78" s="1"/>
      <c r="L78" s="1"/>
      <c r="M78" s="1"/>
      <c r="N78" s="1"/>
    </row>
    <row r="79" spans="1:14" ht="21" customHeight="1" x14ac:dyDescent="0.3">
      <c r="A79" s="3"/>
      <c r="B79" s="309"/>
      <c r="C79" s="67" t="s">
        <v>237</v>
      </c>
      <c r="D79" s="135"/>
      <c r="E79" s="88"/>
      <c r="F79" s="88"/>
      <c r="G79" s="311"/>
      <c r="H79" s="1"/>
      <c r="I79" s="1"/>
      <c r="J79" s="1"/>
      <c r="K79" s="1"/>
      <c r="L79" s="1"/>
      <c r="M79" s="1"/>
      <c r="N79" s="1"/>
    </row>
    <row r="80" spans="1:14" ht="21" customHeight="1" x14ac:dyDescent="0.3">
      <c r="A80" s="3"/>
      <c r="B80" s="309"/>
      <c r="C80" s="68" t="s">
        <v>538</v>
      </c>
      <c r="D80" s="135">
        <v>2.3199999999999998</v>
      </c>
      <c r="E80" s="88">
        <v>-8.17</v>
      </c>
      <c r="F80" s="88">
        <v>-1.61</v>
      </c>
      <c r="G80" s="311"/>
      <c r="H80" s="1"/>
      <c r="I80" s="1"/>
      <c r="J80" s="1"/>
      <c r="K80" s="1"/>
      <c r="L80" s="1"/>
      <c r="M80" s="1"/>
      <c r="N80" s="1"/>
    </row>
    <row r="81" spans="1:14" ht="21" customHeight="1" x14ac:dyDescent="0.3">
      <c r="A81" s="3"/>
      <c r="B81" s="309"/>
      <c r="C81" s="5" t="s">
        <v>352</v>
      </c>
      <c r="D81" s="135">
        <v>1.86</v>
      </c>
      <c r="E81" s="88">
        <v>1.31</v>
      </c>
      <c r="F81" s="88">
        <v>2.87</v>
      </c>
      <c r="G81" s="311"/>
      <c r="H81" s="1"/>
      <c r="I81" s="1"/>
      <c r="J81" s="1"/>
      <c r="K81" s="1"/>
      <c r="L81" s="1"/>
      <c r="M81" s="1"/>
      <c r="N81" s="1"/>
    </row>
    <row r="82" spans="1:14" ht="21" customHeight="1" x14ac:dyDescent="0.3">
      <c r="A82" s="3"/>
      <c r="B82" s="309"/>
      <c r="C82" s="5" t="s">
        <v>539</v>
      </c>
      <c r="D82" s="135">
        <v>-2.08</v>
      </c>
      <c r="E82" s="88">
        <v>0.19</v>
      </c>
      <c r="F82" s="88">
        <v>-1.64</v>
      </c>
      <c r="G82" s="311"/>
      <c r="H82" s="1"/>
      <c r="I82" s="1"/>
      <c r="J82" s="1"/>
      <c r="K82" s="1"/>
      <c r="L82" s="1"/>
      <c r="M82" s="1"/>
      <c r="N82" s="1"/>
    </row>
    <row r="83" spans="1:14" ht="21" customHeight="1" x14ac:dyDescent="0.3">
      <c r="A83" s="3"/>
      <c r="B83" s="298"/>
      <c r="C83" s="54" t="s">
        <v>295</v>
      </c>
      <c r="D83" s="140">
        <f>AVERAGE(D80:D82)</f>
        <v>0.69999999999999984</v>
      </c>
      <c r="E83" s="157">
        <f>AVERAGE(E80:E82)</f>
        <v>-2.2233333333333332</v>
      </c>
      <c r="F83" s="157">
        <f>AVERAGE(F80:F82)</f>
        <v>-0.12666666666666662</v>
      </c>
      <c r="G83" s="311"/>
      <c r="H83" s="1"/>
      <c r="I83" s="1"/>
      <c r="J83" s="1"/>
      <c r="K83" s="1"/>
      <c r="L83" s="1"/>
      <c r="M83" s="1"/>
      <c r="N83" s="1"/>
    </row>
    <row r="84" spans="1:14" ht="21" x14ac:dyDescent="0.3">
      <c r="A84" s="3"/>
      <c r="B84" s="297" t="s">
        <v>59</v>
      </c>
      <c r="C84" s="54" t="s">
        <v>537</v>
      </c>
      <c r="D84" s="141">
        <v>13.02</v>
      </c>
      <c r="E84" s="90">
        <f>O84/E78</f>
        <v>0</v>
      </c>
      <c r="F84" s="90">
        <f>I68/F78</f>
        <v>124.21428571428571</v>
      </c>
      <c r="G84" s="311"/>
      <c r="H84" s="1"/>
      <c r="I84" s="1"/>
      <c r="J84" s="1"/>
      <c r="K84" s="1"/>
      <c r="L84" s="1"/>
      <c r="M84" s="1"/>
      <c r="N84" s="1"/>
    </row>
    <row r="85" spans="1:14" ht="21" x14ac:dyDescent="0.3">
      <c r="A85" s="3"/>
      <c r="B85" s="309"/>
      <c r="C85" s="67" t="s">
        <v>237</v>
      </c>
      <c r="D85" s="135"/>
      <c r="E85" s="1"/>
      <c r="F85" s="88"/>
      <c r="G85" s="311"/>
      <c r="H85" s="1"/>
      <c r="I85" s="1"/>
      <c r="J85" s="1"/>
      <c r="K85" s="1"/>
      <c r="L85" s="1"/>
      <c r="M85" s="1"/>
      <c r="N85" s="1"/>
    </row>
    <row r="86" spans="1:14" ht="42" x14ac:dyDescent="0.3">
      <c r="A86" s="3"/>
      <c r="B86" s="309"/>
      <c r="C86" s="68" t="s">
        <v>538</v>
      </c>
      <c r="D86" s="135">
        <v>3.37</v>
      </c>
      <c r="E86" s="90">
        <f>O86/E80</f>
        <v>0</v>
      </c>
      <c r="F86" s="90">
        <f>2.62/F80</f>
        <v>-1.6273291925465838</v>
      </c>
      <c r="G86" s="311"/>
      <c r="H86" s="1"/>
      <c r="I86" s="1"/>
      <c r="J86" s="1"/>
      <c r="K86" s="1"/>
      <c r="L86" s="1"/>
      <c r="M86" s="1"/>
      <c r="N86" s="1"/>
    </row>
    <row r="87" spans="1:14" ht="21" x14ac:dyDescent="0.3">
      <c r="A87" s="3"/>
      <c r="B87" s="309"/>
      <c r="C87" s="5" t="s">
        <v>352</v>
      </c>
      <c r="D87" s="135">
        <v>44.26</v>
      </c>
      <c r="E87" s="90">
        <f>O87/E81</f>
        <v>0</v>
      </c>
      <c r="F87" s="90">
        <f>78.75/F81</f>
        <v>27.439024390243901</v>
      </c>
      <c r="G87" s="311"/>
      <c r="H87" s="1"/>
      <c r="I87" s="1"/>
      <c r="J87" s="1"/>
      <c r="K87" s="1"/>
      <c r="L87" s="1"/>
      <c r="M87" s="1"/>
      <c r="N87" s="1"/>
    </row>
    <row r="88" spans="1:14" ht="42" x14ac:dyDescent="0.3">
      <c r="A88" s="3"/>
      <c r="B88" s="309"/>
      <c r="C88" s="5" t="s">
        <v>539</v>
      </c>
      <c r="D88" s="135">
        <v>-14.42</v>
      </c>
      <c r="E88" s="90">
        <f>O88/E82</f>
        <v>0</v>
      </c>
      <c r="F88" s="90">
        <f>13.66/F82</f>
        <v>-8.3292682926829276</v>
      </c>
      <c r="G88" s="311"/>
      <c r="H88" s="1"/>
      <c r="I88" s="1"/>
      <c r="J88" s="1"/>
      <c r="K88" s="1"/>
      <c r="L88" s="1"/>
      <c r="M88" s="1"/>
      <c r="N88" s="1"/>
    </row>
    <row r="89" spans="1:14" ht="21" x14ac:dyDescent="0.3">
      <c r="A89" s="3"/>
      <c r="B89" s="298"/>
      <c r="C89" s="54" t="s">
        <v>295</v>
      </c>
      <c r="D89" s="140">
        <f>AVERAGE(D86:D88)</f>
        <v>11.069999999999999</v>
      </c>
      <c r="E89" s="157">
        <f>AVERAGE(E86:E88)</f>
        <v>0</v>
      </c>
      <c r="F89" s="157">
        <f>AVERAGE(F86:F88)</f>
        <v>5.8274756350047978</v>
      </c>
      <c r="G89" s="311"/>
      <c r="H89" s="1"/>
      <c r="I89" s="1"/>
      <c r="J89" s="1"/>
      <c r="K89" s="1"/>
      <c r="L89" s="1"/>
      <c r="M89" s="1"/>
      <c r="N89" s="1"/>
    </row>
    <row r="90" spans="1:14" ht="21" x14ac:dyDescent="0.3">
      <c r="A90" s="3"/>
      <c r="B90" s="297" t="s">
        <v>60</v>
      </c>
      <c r="C90" s="54" t="s">
        <v>537</v>
      </c>
      <c r="D90" s="142">
        <v>0.1275</v>
      </c>
      <c r="E90" s="110">
        <v>5.7226760638581876E-2</v>
      </c>
      <c r="F90" s="110">
        <v>9.1999999999999998E-3</v>
      </c>
      <c r="G90" s="311"/>
      <c r="H90" s="1"/>
      <c r="I90" s="1"/>
      <c r="J90" s="1"/>
      <c r="K90" s="1"/>
      <c r="L90" s="1"/>
      <c r="M90" s="1"/>
      <c r="N90" s="1"/>
    </row>
    <row r="91" spans="1:14" ht="21" x14ac:dyDescent="0.3">
      <c r="A91" s="3"/>
      <c r="B91" s="309"/>
      <c r="C91" s="67" t="s">
        <v>237</v>
      </c>
      <c r="D91" s="5"/>
      <c r="E91" s="88"/>
      <c r="F91" s="88"/>
      <c r="G91" s="311"/>
      <c r="H91" s="1"/>
      <c r="I91" s="1"/>
      <c r="J91" s="1"/>
      <c r="K91" s="1"/>
      <c r="L91" s="1"/>
      <c r="M91" s="1"/>
      <c r="N91" s="1"/>
    </row>
    <row r="92" spans="1:14" ht="42" x14ac:dyDescent="0.3">
      <c r="A92" s="3"/>
      <c r="B92" s="309"/>
      <c r="C92" s="68" t="s">
        <v>538</v>
      </c>
      <c r="D92" s="126">
        <v>0.215</v>
      </c>
      <c r="E92" s="110">
        <v>-3.2798618076451573</v>
      </c>
      <c r="F92" s="88">
        <v>-91.84</v>
      </c>
      <c r="G92" s="311"/>
      <c r="H92" s="1"/>
      <c r="I92" s="1"/>
      <c r="J92" s="1"/>
      <c r="K92" s="1"/>
      <c r="L92" s="1"/>
      <c r="M92" s="1"/>
      <c r="N92" s="1"/>
    </row>
    <row r="93" spans="1:14" ht="21" x14ac:dyDescent="0.3">
      <c r="A93" s="3"/>
      <c r="B93" s="309"/>
      <c r="C93" s="5" t="s">
        <v>352</v>
      </c>
      <c r="D93" s="126">
        <v>0.21160000000000001</v>
      </c>
      <c r="E93" s="110">
        <v>0.13038996317795376</v>
      </c>
      <c r="F93" s="110">
        <v>0.22209999999999999</v>
      </c>
      <c r="G93" s="311"/>
      <c r="H93" s="1"/>
      <c r="I93" s="1"/>
      <c r="J93" s="1"/>
      <c r="K93" s="1"/>
      <c r="L93" s="1"/>
      <c r="M93" s="1"/>
      <c r="N93" s="1"/>
    </row>
    <row r="94" spans="1:14" ht="42" x14ac:dyDescent="0.3">
      <c r="A94" s="3"/>
      <c r="B94" s="309"/>
      <c r="C94" s="5" t="s">
        <v>539</v>
      </c>
      <c r="D94" s="126">
        <v>-8.4400000000000003E-2</v>
      </c>
      <c r="E94" s="110">
        <v>7.417278862808338E-3</v>
      </c>
      <c r="F94" s="110">
        <v>-7.2400000000000006E-2</v>
      </c>
      <c r="G94" s="311"/>
      <c r="H94" s="1"/>
      <c r="I94" s="1"/>
      <c r="J94" s="1"/>
      <c r="K94" s="1"/>
      <c r="L94" s="1"/>
      <c r="M94" s="1"/>
      <c r="N94" s="1"/>
    </row>
    <row r="95" spans="1:14" ht="21" x14ac:dyDescent="0.3">
      <c r="A95" s="3"/>
      <c r="B95" s="298"/>
      <c r="C95" s="54" t="s">
        <v>295</v>
      </c>
      <c r="D95" s="140">
        <f>AVERAGE(D92:D94)</f>
        <v>0.11406666666666665</v>
      </c>
      <c r="E95" s="131">
        <f>AVERAGE(E92:E94)</f>
        <v>-1.0473515218681317</v>
      </c>
      <c r="F95" s="157">
        <f>AVERAGE(F92:F94)</f>
        <v>-30.563433333333336</v>
      </c>
      <c r="G95" s="311"/>
      <c r="H95" s="1"/>
      <c r="I95" s="1"/>
      <c r="J95" s="1"/>
      <c r="K95" s="1"/>
      <c r="L95" s="1"/>
      <c r="M95" s="1"/>
      <c r="N95" s="1"/>
    </row>
    <row r="96" spans="1:14" ht="21" x14ac:dyDescent="0.3">
      <c r="A96" s="3"/>
      <c r="B96" s="310" t="s">
        <v>61</v>
      </c>
      <c r="C96" s="54" t="s">
        <v>537</v>
      </c>
      <c r="D96" s="135">
        <v>12.26</v>
      </c>
      <c r="E96" s="90">
        <v>15.42654660828482</v>
      </c>
      <c r="F96" s="88">
        <v>15.57</v>
      </c>
      <c r="G96" s="311"/>
      <c r="H96" s="1"/>
      <c r="I96" s="1"/>
      <c r="J96" s="1"/>
      <c r="K96" s="1"/>
      <c r="L96" s="1"/>
      <c r="M96" s="1"/>
      <c r="N96" s="1"/>
    </row>
    <row r="97" spans="1:14" ht="21" x14ac:dyDescent="0.3">
      <c r="A97" s="3"/>
      <c r="B97" s="310"/>
      <c r="C97" s="67" t="s">
        <v>237</v>
      </c>
      <c r="D97" s="135"/>
      <c r="E97" s="88"/>
      <c r="F97" s="88"/>
      <c r="G97" s="311"/>
      <c r="H97" s="1"/>
      <c r="I97" s="1"/>
      <c r="J97" s="1"/>
      <c r="K97" s="1"/>
      <c r="L97" s="1"/>
      <c r="M97" s="1"/>
      <c r="N97" s="1"/>
    </row>
    <row r="98" spans="1:14" ht="42" x14ac:dyDescent="0.3">
      <c r="A98" s="3"/>
      <c r="B98" s="310"/>
      <c r="C98" s="68" t="s">
        <v>538</v>
      </c>
      <c r="D98" s="135">
        <v>10.81</v>
      </c>
      <c r="E98" s="90">
        <v>2.4918182569828025</v>
      </c>
      <c r="F98" s="88">
        <v>1.75</v>
      </c>
      <c r="G98" s="311"/>
      <c r="H98" s="1"/>
      <c r="I98" s="1"/>
      <c r="J98" s="1"/>
      <c r="K98" s="1"/>
      <c r="L98" s="1"/>
      <c r="M98" s="1"/>
      <c r="N98" s="1"/>
    </row>
    <row r="99" spans="1:14" ht="21" x14ac:dyDescent="0.3">
      <c r="A99" s="3"/>
      <c r="B99" s="310"/>
      <c r="C99" s="5" t="s">
        <v>352</v>
      </c>
      <c r="D99" s="135">
        <v>8.8000000000000007</v>
      </c>
      <c r="E99" s="90">
        <v>10.076395744550387</v>
      </c>
      <c r="F99" s="88">
        <v>12.9</v>
      </c>
      <c r="G99" s="311"/>
      <c r="H99" s="1"/>
      <c r="I99" s="1"/>
      <c r="J99" s="1"/>
      <c r="K99" s="1"/>
      <c r="L99" s="1"/>
      <c r="M99" s="1"/>
      <c r="N99" s="1"/>
    </row>
    <row r="100" spans="1:14" ht="42" x14ac:dyDescent="0.3">
      <c r="A100" s="3"/>
      <c r="B100" s="310"/>
      <c r="C100" s="5" t="s">
        <v>539</v>
      </c>
      <c r="D100" s="135">
        <v>2.4700000000000002</v>
      </c>
      <c r="E100" s="90">
        <v>25.513142857142856</v>
      </c>
      <c r="F100" s="88">
        <v>22.62</v>
      </c>
      <c r="G100" s="311"/>
      <c r="H100" s="1"/>
      <c r="I100" s="1"/>
      <c r="J100" s="1"/>
      <c r="K100" s="1"/>
      <c r="L100" s="1"/>
      <c r="M100" s="1"/>
      <c r="N100" s="1"/>
    </row>
    <row r="101" spans="1:14" ht="21" x14ac:dyDescent="0.35">
      <c r="A101" s="3"/>
      <c r="B101" s="310"/>
      <c r="C101" s="54" t="s">
        <v>295</v>
      </c>
      <c r="D101" s="144">
        <f>AVERAGE(D98:D100)</f>
        <v>7.3599999999999994</v>
      </c>
      <c r="E101" s="157">
        <f>AVERAGE(E98:E100)</f>
        <v>12.693785619558682</v>
      </c>
      <c r="F101" s="157">
        <f>AVERAGE(F98:F100)</f>
        <v>12.423333333333334</v>
      </c>
      <c r="G101" s="311"/>
      <c r="H101" s="1"/>
      <c r="I101" s="1"/>
      <c r="J101" s="1"/>
      <c r="K101" s="1"/>
      <c r="L101" s="1"/>
      <c r="M101" s="1"/>
      <c r="N101" s="1"/>
    </row>
    <row r="102" spans="1:14" ht="21" x14ac:dyDescent="0.3">
      <c r="A102" s="3"/>
      <c r="B102" s="301"/>
      <c r="C102" s="302"/>
      <c r="D102" s="302"/>
      <c r="E102" s="302"/>
      <c r="F102" s="302"/>
      <c r="G102" s="303"/>
      <c r="H102" s="1"/>
      <c r="I102" s="1"/>
      <c r="J102" s="1"/>
      <c r="K102" s="1"/>
      <c r="L102" s="1"/>
      <c r="M102" s="1"/>
      <c r="N102" s="1"/>
    </row>
    <row r="103" spans="1:14" ht="21" x14ac:dyDescent="0.3">
      <c r="A103" s="2"/>
      <c r="B103" s="253" t="s">
        <v>82</v>
      </c>
      <c r="C103" s="270"/>
      <c r="D103" s="270"/>
      <c r="E103" s="270"/>
      <c r="F103" s="270"/>
      <c r="G103" s="254"/>
      <c r="H103" s="2"/>
      <c r="I103" s="2"/>
      <c r="J103" s="2"/>
      <c r="K103" s="2"/>
      <c r="L103" s="2"/>
      <c r="M103" s="2"/>
      <c r="N103" s="2"/>
    </row>
    <row r="104" spans="1:14" ht="63" customHeight="1" x14ac:dyDescent="0.3">
      <c r="A104" s="3"/>
      <c r="B104" s="304" t="s">
        <v>562</v>
      </c>
      <c r="C104" s="242"/>
      <c r="D104" s="242"/>
      <c r="E104" s="242"/>
      <c r="F104" s="242"/>
      <c r="G104" s="305"/>
      <c r="H104" s="1"/>
      <c r="I104" s="1"/>
      <c r="J104" s="1"/>
      <c r="K104" s="1"/>
      <c r="L104" s="1"/>
      <c r="M104" s="1"/>
      <c r="N104" s="1"/>
    </row>
    <row r="105" spans="1:14" ht="21" x14ac:dyDescent="0.3">
      <c r="A105" s="1"/>
      <c r="B105" s="1"/>
      <c r="C105" s="306"/>
      <c r="D105" s="306"/>
      <c r="E105" s="306"/>
      <c r="F105" s="306"/>
      <c r="G105" s="306"/>
      <c r="H105" s="1"/>
      <c r="I105" s="1"/>
      <c r="J105" s="1"/>
      <c r="K105" s="1"/>
      <c r="L105" s="1"/>
      <c r="M105" s="1"/>
      <c r="N105" s="1"/>
    </row>
    <row r="106" spans="1:14" ht="21" x14ac:dyDescent="0.3">
      <c r="A106" s="3">
        <v>14</v>
      </c>
      <c r="B106" s="54" t="s">
        <v>63</v>
      </c>
      <c r="C106" s="307" t="s">
        <v>50</v>
      </c>
      <c r="D106" s="308"/>
      <c r="E106" s="308"/>
      <c r="F106" s="308"/>
      <c r="G106" s="249"/>
      <c r="H106" s="1"/>
      <c r="I106" s="1"/>
      <c r="J106" s="1"/>
      <c r="K106" s="1"/>
      <c r="L106" s="1"/>
      <c r="M106" s="1"/>
      <c r="N106" s="1"/>
    </row>
    <row r="107" spans="1:14" ht="21" x14ac:dyDescent="0.3">
      <c r="A107" s="1"/>
      <c r="B107" s="1"/>
      <c r="C107" s="55"/>
      <c r="D107" s="55"/>
      <c r="E107" s="55"/>
      <c r="F107" s="55"/>
      <c r="G107" s="55"/>
      <c r="H107" s="1"/>
      <c r="I107" s="1"/>
      <c r="J107" s="1"/>
      <c r="K107" s="1"/>
      <c r="L107" s="1"/>
      <c r="M107" s="1"/>
      <c r="N107" s="1"/>
    </row>
    <row r="108" spans="1:14" ht="20.25" customHeight="1" x14ac:dyDescent="0.3">
      <c r="A108" s="1"/>
      <c r="B108" s="299" t="s">
        <v>540</v>
      </c>
      <c r="C108" s="299"/>
      <c r="D108" s="299"/>
      <c r="E108" s="299"/>
      <c r="F108" s="299"/>
      <c r="G108" s="299"/>
      <c r="H108" s="299"/>
      <c r="I108" s="1"/>
      <c r="J108" s="1"/>
      <c r="K108" s="1"/>
      <c r="L108" s="1"/>
      <c r="M108" s="1"/>
      <c r="N108" s="1"/>
    </row>
  </sheetData>
  <mergeCells count="63">
    <mergeCell ref="C105:G105"/>
    <mergeCell ref="C106:G106"/>
    <mergeCell ref="B108:H108"/>
    <mergeCell ref="B90:B95"/>
    <mergeCell ref="B96:B101"/>
    <mergeCell ref="B102:G102"/>
    <mergeCell ref="B103:G103"/>
    <mergeCell ref="B104:G104"/>
    <mergeCell ref="B78:B83"/>
    <mergeCell ref="G78:G101"/>
    <mergeCell ref="B84:B89"/>
    <mergeCell ref="F66:H66"/>
    <mergeCell ref="B70:N70"/>
    <mergeCell ref="B71:F71"/>
    <mergeCell ref="B72:F72"/>
    <mergeCell ref="B73:F73"/>
    <mergeCell ref="B75:G75"/>
    <mergeCell ref="B74:C74"/>
    <mergeCell ref="I66:K66"/>
    <mergeCell ref="L66:N66"/>
    <mergeCell ref="L68:N69"/>
    <mergeCell ref="B58:E58"/>
    <mergeCell ref="C60:E60"/>
    <mergeCell ref="C61:E61"/>
    <mergeCell ref="C62:E62"/>
    <mergeCell ref="B66:B67"/>
    <mergeCell ref="C66:C67"/>
    <mergeCell ref="D66:D67"/>
    <mergeCell ref="E66:E67"/>
    <mergeCell ref="C57:E57"/>
    <mergeCell ref="B41:E41"/>
    <mergeCell ref="C42:E42"/>
    <mergeCell ref="C43:E43"/>
    <mergeCell ref="C44:E44"/>
    <mergeCell ref="B45:E45"/>
    <mergeCell ref="B47:E47"/>
    <mergeCell ref="B50:E50"/>
    <mergeCell ref="B53:E53"/>
    <mergeCell ref="B54:B55"/>
    <mergeCell ref="C54:E55"/>
    <mergeCell ref="C56:E56"/>
    <mergeCell ref="B39:D39"/>
    <mergeCell ref="C21:E21"/>
    <mergeCell ref="C22:E22"/>
    <mergeCell ref="C23:E23"/>
    <mergeCell ref="C24:E24"/>
    <mergeCell ref="B26:E26"/>
    <mergeCell ref="B27:E27"/>
    <mergeCell ref="E29:E32"/>
    <mergeCell ref="B33:E33"/>
    <mergeCell ref="B35:E35"/>
    <mergeCell ref="C20:E20"/>
    <mergeCell ref="A1:B1"/>
    <mergeCell ref="C3:E3"/>
    <mergeCell ref="C5:E5"/>
    <mergeCell ref="B6:D6"/>
    <mergeCell ref="B9:D9"/>
    <mergeCell ref="C11:E11"/>
    <mergeCell ref="B12:D12"/>
    <mergeCell ref="C14:E14"/>
    <mergeCell ref="B15:D15"/>
    <mergeCell ref="B17:C17"/>
    <mergeCell ref="B19:E19"/>
  </mergeCells>
  <pageMargins left="0.70866141732283472" right="0.70866141732283472" top="0.74803149606299213" bottom="0.74803149606299213" header="0.31496062992125984" footer="0.31496062992125984"/>
  <pageSetup scale="20" fitToWidth="70" fitToHeight="2" orientation="portrait" horizontalDpi="1200" verticalDpi="1200" r:id="rId1"/>
  <rowBreaks count="1" manualBreakCount="1">
    <brk id="73"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CF740-6BBD-4CC1-851A-C6275634659F}">
  <dimension ref="A1:N110"/>
  <sheetViews>
    <sheetView view="pageBreakPreview" topLeftCell="A2" zoomScale="39" zoomScaleNormal="59" zoomScaleSheetLayoutView="66" workbookViewId="0">
      <selection activeCell="I66" sqref="I66:K66"/>
    </sheetView>
  </sheetViews>
  <sheetFormatPr defaultColWidth="8.6640625" defaultRowHeight="14.4" x14ac:dyDescent="0.3"/>
  <cols>
    <col min="2" max="2" width="58.33203125" customWidth="1"/>
    <col min="3" max="3" width="81" customWidth="1"/>
    <col min="4" max="4" width="73.109375" customWidth="1"/>
    <col min="5" max="5" width="27.6640625" customWidth="1"/>
    <col min="6" max="6" width="15.44140625" customWidth="1"/>
    <col min="7" max="7" width="15" customWidth="1"/>
    <col min="8" max="8" width="22.6640625" customWidth="1"/>
    <col min="9" max="9" width="14.109375" bestFit="1" customWidth="1"/>
    <col min="10" max="10" width="14.6640625" bestFit="1" customWidth="1"/>
    <col min="11" max="11" width="14.109375" bestFit="1" customWidth="1"/>
  </cols>
  <sheetData>
    <row r="1" spans="1:14" ht="20.25" customHeight="1" x14ac:dyDescent="0.3">
      <c r="A1" s="246" t="s">
        <v>0</v>
      </c>
      <c r="B1" s="246"/>
      <c r="C1" s="1"/>
      <c r="D1" s="2"/>
      <c r="E1" s="1"/>
      <c r="F1" s="1"/>
      <c r="G1" s="1"/>
      <c r="H1" s="1"/>
      <c r="I1" s="1"/>
      <c r="J1" s="1"/>
      <c r="K1" s="1"/>
      <c r="L1" s="1"/>
      <c r="M1" s="1"/>
      <c r="N1" s="1"/>
    </row>
    <row r="2" spans="1:14" ht="21" x14ac:dyDescent="0.3">
      <c r="A2" s="1"/>
      <c r="B2" s="1"/>
      <c r="C2" s="1"/>
      <c r="D2" s="1"/>
      <c r="E2" s="1"/>
      <c r="F2" s="1"/>
      <c r="G2" s="1"/>
      <c r="H2" s="1"/>
      <c r="I2" s="1"/>
      <c r="J2" s="1"/>
      <c r="K2" s="1"/>
      <c r="L2" s="1"/>
      <c r="M2" s="1"/>
      <c r="N2" s="1"/>
    </row>
    <row r="3" spans="1:14" ht="40.799999999999997" x14ac:dyDescent="0.3">
      <c r="A3" s="3" t="s">
        <v>1</v>
      </c>
      <c r="B3" s="54" t="s">
        <v>2</v>
      </c>
      <c r="C3" s="300" t="s">
        <v>526</v>
      </c>
      <c r="D3" s="300"/>
      <c r="E3" s="300"/>
      <c r="F3" s="1"/>
      <c r="G3" s="1"/>
      <c r="H3" s="1"/>
      <c r="I3" s="1"/>
      <c r="J3" s="1"/>
      <c r="K3" s="1"/>
      <c r="L3" s="1"/>
      <c r="M3" s="1"/>
      <c r="N3" s="1"/>
    </row>
    <row r="4" spans="1:14" ht="21" x14ac:dyDescent="0.3">
      <c r="A4" s="1"/>
      <c r="B4" s="1"/>
      <c r="C4" s="1"/>
      <c r="D4" s="22"/>
      <c r="E4" s="1"/>
      <c r="F4" s="1"/>
      <c r="G4" s="1"/>
      <c r="H4" s="1"/>
      <c r="I4" s="1"/>
      <c r="J4" s="1"/>
      <c r="K4" s="1"/>
      <c r="L4" s="1"/>
      <c r="M4" s="1"/>
      <c r="N4" s="1"/>
    </row>
    <row r="5" spans="1:14" ht="21" x14ac:dyDescent="0.3">
      <c r="A5" s="62">
        <v>1</v>
      </c>
      <c r="B5" s="63" t="s">
        <v>3</v>
      </c>
      <c r="C5" s="247" t="s">
        <v>593</v>
      </c>
      <c r="D5" s="248"/>
      <c r="E5" s="249"/>
      <c r="F5" s="1"/>
      <c r="G5" s="1"/>
      <c r="H5" s="1"/>
      <c r="I5" s="1"/>
      <c r="J5" s="1"/>
      <c r="K5" s="1"/>
      <c r="L5" s="1"/>
      <c r="M5" s="1"/>
      <c r="N5" s="1"/>
    </row>
    <row r="6" spans="1:14" ht="21" x14ac:dyDescent="0.3">
      <c r="A6" s="3"/>
      <c r="B6" s="250" t="s">
        <v>4</v>
      </c>
      <c r="C6" s="251"/>
      <c r="D6" s="252"/>
      <c r="E6" s="10"/>
      <c r="F6" s="1"/>
      <c r="G6" s="1"/>
      <c r="H6" s="1"/>
      <c r="I6" s="1"/>
      <c r="J6" s="1"/>
      <c r="K6" s="1"/>
      <c r="L6" s="1"/>
      <c r="M6" s="1"/>
      <c r="N6" s="1"/>
    </row>
    <row r="7" spans="1:14" ht="21" x14ac:dyDescent="0.3">
      <c r="A7" s="3"/>
      <c r="B7" s="2"/>
      <c r="C7" s="1"/>
      <c r="D7" s="22"/>
      <c r="E7" s="1"/>
      <c r="F7" s="1"/>
      <c r="G7" s="1"/>
      <c r="H7" s="1"/>
      <c r="I7" s="1"/>
      <c r="J7" s="1"/>
      <c r="K7" s="1"/>
      <c r="L7" s="1"/>
      <c r="M7" s="1"/>
      <c r="N7" s="1"/>
    </row>
    <row r="8" spans="1:14" ht="21" x14ac:dyDescent="0.3">
      <c r="A8" s="3">
        <v>2</v>
      </c>
      <c r="B8" s="63" t="s">
        <v>5</v>
      </c>
      <c r="C8" s="12" t="s">
        <v>510</v>
      </c>
      <c r="D8" s="22"/>
      <c r="E8" s="1"/>
      <c r="F8" s="1"/>
      <c r="G8" s="1"/>
      <c r="H8" s="1"/>
      <c r="I8" s="1"/>
      <c r="J8" s="1"/>
      <c r="K8" s="1"/>
      <c r="L8" s="1"/>
      <c r="M8" s="1"/>
      <c r="N8" s="1"/>
    </row>
    <row r="9" spans="1:14" ht="21" x14ac:dyDescent="0.3">
      <c r="A9" s="3"/>
      <c r="B9" s="250" t="s">
        <v>4</v>
      </c>
      <c r="C9" s="251"/>
      <c r="D9" s="252"/>
      <c r="E9" s="1"/>
      <c r="F9" s="1"/>
      <c r="G9" s="1"/>
      <c r="H9" s="1"/>
      <c r="I9" s="1"/>
      <c r="J9" s="1"/>
      <c r="K9" s="1"/>
      <c r="L9" s="1"/>
      <c r="M9" s="1"/>
      <c r="N9" s="1"/>
    </row>
    <row r="10" spans="1:14" ht="21" x14ac:dyDescent="0.3">
      <c r="A10" s="3"/>
      <c r="B10" s="2"/>
      <c r="C10" s="1"/>
      <c r="D10" s="22"/>
      <c r="E10" s="1"/>
      <c r="F10" s="1"/>
      <c r="G10" s="1"/>
      <c r="H10" s="1"/>
      <c r="I10" s="1"/>
      <c r="J10" s="1"/>
      <c r="K10" s="1"/>
      <c r="L10" s="1"/>
      <c r="M10" s="1"/>
      <c r="N10" s="1"/>
    </row>
    <row r="11" spans="1:14" ht="40.799999999999997" x14ac:dyDescent="0.3">
      <c r="A11" s="3">
        <v>3</v>
      </c>
      <c r="B11" s="63" t="s">
        <v>6</v>
      </c>
      <c r="C11" s="247" t="s">
        <v>90</v>
      </c>
      <c r="D11" s="248"/>
      <c r="E11" s="249"/>
      <c r="F11" s="1"/>
      <c r="G11" s="1"/>
      <c r="H11" s="1"/>
      <c r="I11" s="1"/>
      <c r="J11" s="1"/>
      <c r="K11" s="1"/>
      <c r="L11" s="1"/>
      <c r="M11" s="1"/>
      <c r="N11" s="1"/>
    </row>
    <row r="12" spans="1:14" ht="21" x14ac:dyDescent="0.3">
      <c r="A12" s="3"/>
      <c r="B12" s="250" t="s">
        <v>4</v>
      </c>
      <c r="C12" s="251"/>
      <c r="D12" s="252"/>
      <c r="E12" s="10"/>
      <c r="F12" s="1"/>
      <c r="G12" s="1"/>
      <c r="H12" s="1"/>
      <c r="I12" s="1"/>
      <c r="J12" s="1"/>
      <c r="K12" s="1"/>
      <c r="L12" s="1"/>
      <c r="M12" s="1"/>
      <c r="N12" s="1"/>
    </row>
    <row r="13" spans="1:14" ht="21" x14ac:dyDescent="0.3">
      <c r="A13" s="3"/>
      <c r="B13" s="2"/>
      <c r="C13" s="1"/>
      <c r="D13" s="22"/>
      <c r="E13" s="1"/>
      <c r="F13" s="1"/>
      <c r="G13" s="1"/>
      <c r="H13" s="1"/>
      <c r="I13" s="1"/>
      <c r="J13" s="1"/>
      <c r="K13" s="1"/>
      <c r="L13" s="1"/>
      <c r="M13" s="1"/>
      <c r="N13" s="1"/>
    </row>
    <row r="14" spans="1:14" ht="21" x14ac:dyDescent="0.3">
      <c r="A14" s="3">
        <v>4</v>
      </c>
      <c r="B14" s="54" t="s">
        <v>92</v>
      </c>
      <c r="C14" s="247" t="s">
        <v>90</v>
      </c>
      <c r="D14" s="248"/>
      <c r="E14" s="249"/>
      <c r="F14" s="1"/>
      <c r="G14" s="1"/>
      <c r="H14" s="1"/>
      <c r="I14" s="1"/>
      <c r="J14" s="1"/>
      <c r="K14" s="1"/>
      <c r="L14" s="1"/>
      <c r="M14" s="1"/>
      <c r="N14" s="1"/>
    </row>
    <row r="15" spans="1:14" ht="21" x14ac:dyDescent="0.3">
      <c r="A15" s="3"/>
      <c r="B15" s="250" t="s">
        <v>4</v>
      </c>
      <c r="C15" s="251"/>
      <c r="D15" s="252"/>
      <c r="E15" s="1"/>
      <c r="F15" s="1"/>
      <c r="G15" s="1"/>
      <c r="H15" s="1"/>
      <c r="I15" s="1"/>
      <c r="J15" s="1"/>
      <c r="K15" s="1"/>
      <c r="L15" s="1"/>
      <c r="M15" s="1"/>
      <c r="N15" s="1"/>
    </row>
    <row r="16" spans="1:14" ht="21" x14ac:dyDescent="0.3">
      <c r="A16" s="3">
        <v>4</v>
      </c>
      <c r="B16" s="54" t="s">
        <v>7</v>
      </c>
      <c r="C16" s="5" t="s">
        <v>527</v>
      </c>
      <c r="D16" s="22"/>
      <c r="E16" s="1"/>
      <c r="F16" s="1"/>
      <c r="G16" s="1"/>
      <c r="H16" s="1"/>
      <c r="I16" s="1"/>
      <c r="J16" s="1"/>
      <c r="K16" s="1"/>
      <c r="L16" s="1"/>
      <c r="M16" s="1"/>
      <c r="N16" s="1"/>
    </row>
    <row r="17" spans="1:14" ht="21" x14ac:dyDescent="0.3">
      <c r="A17" s="3"/>
      <c r="B17" s="253" t="s">
        <v>8</v>
      </c>
      <c r="C17" s="254"/>
      <c r="D17" s="22"/>
      <c r="E17" s="1"/>
      <c r="F17" s="1"/>
      <c r="G17" s="1"/>
      <c r="H17" s="1"/>
      <c r="I17" s="1"/>
      <c r="J17" s="1"/>
      <c r="K17" s="1"/>
      <c r="L17" s="1"/>
      <c r="M17" s="1"/>
      <c r="N17" s="1"/>
    </row>
    <row r="18" spans="1:14" ht="21" x14ac:dyDescent="0.3">
      <c r="A18" s="3"/>
      <c r="B18" s="1"/>
      <c r="C18" s="1"/>
      <c r="D18" s="22"/>
      <c r="E18" s="1"/>
      <c r="F18" s="1"/>
      <c r="G18" s="1"/>
      <c r="H18" s="1"/>
      <c r="I18" s="1"/>
      <c r="J18" s="1"/>
      <c r="K18" s="1"/>
      <c r="L18" s="1"/>
      <c r="M18" s="1"/>
      <c r="N18" s="1"/>
    </row>
    <row r="19" spans="1:14" ht="21" x14ac:dyDescent="0.3">
      <c r="A19" s="3">
        <v>5</v>
      </c>
      <c r="B19" s="255" t="s">
        <v>9</v>
      </c>
      <c r="C19" s="256"/>
      <c r="D19" s="256"/>
      <c r="E19" s="257"/>
      <c r="F19" s="2"/>
      <c r="G19" s="2"/>
      <c r="H19" s="2"/>
      <c r="I19" s="2"/>
      <c r="J19" s="10"/>
      <c r="K19" s="10"/>
      <c r="L19" s="10"/>
      <c r="M19" s="10"/>
      <c r="N19" s="10"/>
    </row>
    <row r="20" spans="1:14" ht="21" x14ac:dyDescent="0.3">
      <c r="A20" s="3"/>
      <c r="B20" s="65" t="s">
        <v>10</v>
      </c>
      <c r="C20" s="243">
        <v>1.2999999999999999E-3</v>
      </c>
      <c r="D20" s="244"/>
      <c r="E20" s="245"/>
      <c r="F20" s="66"/>
      <c r="G20" s="10"/>
      <c r="H20" s="10"/>
      <c r="I20" s="167"/>
      <c r="J20" s="10"/>
      <c r="K20" s="10"/>
      <c r="L20" s="10"/>
      <c r="M20" s="10"/>
      <c r="N20" s="10"/>
    </row>
    <row r="21" spans="1:14" ht="61.2" x14ac:dyDescent="0.3">
      <c r="A21" s="3"/>
      <c r="B21" s="65" t="s">
        <v>511</v>
      </c>
      <c r="C21" s="243">
        <v>5.7999999999999996E-3</v>
      </c>
      <c r="D21" s="244"/>
      <c r="E21" s="245"/>
      <c r="F21" s="66"/>
      <c r="G21" s="10"/>
      <c r="H21" s="1"/>
      <c r="I21" s="167"/>
      <c r="J21" s="10"/>
      <c r="K21" s="10"/>
      <c r="L21" s="10"/>
      <c r="M21" s="10"/>
      <c r="N21" s="10"/>
    </row>
    <row r="22" spans="1:14" ht="21" x14ac:dyDescent="0.3">
      <c r="A22" s="3"/>
      <c r="B22" s="65" t="s">
        <v>474</v>
      </c>
      <c r="C22" s="438" t="s">
        <v>11</v>
      </c>
      <c r="D22" s="439"/>
      <c r="E22" s="440"/>
      <c r="F22" s="66"/>
      <c r="G22" s="10"/>
      <c r="H22" s="10"/>
      <c r="I22" s="10"/>
      <c r="J22" s="10"/>
      <c r="K22" s="10"/>
      <c r="L22" s="10"/>
      <c r="M22" s="10"/>
      <c r="N22" s="10"/>
    </row>
    <row r="23" spans="1:14" ht="21" x14ac:dyDescent="0.3">
      <c r="A23" s="3"/>
      <c r="B23" s="64" t="s">
        <v>475</v>
      </c>
      <c r="C23" s="438" t="s">
        <v>11</v>
      </c>
      <c r="D23" s="439"/>
      <c r="E23" s="440"/>
      <c r="F23" s="66"/>
      <c r="G23" s="10"/>
      <c r="H23" s="10"/>
      <c r="I23" s="10"/>
      <c r="J23" s="10"/>
      <c r="K23" s="10"/>
      <c r="L23" s="10"/>
      <c r="M23" s="10"/>
      <c r="N23" s="10"/>
    </row>
    <row r="24" spans="1:14" ht="21" x14ac:dyDescent="0.3">
      <c r="A24" s="3"/>
      <c r="B24" s="67" t="s">
        <v>476</v>
      </c>
      <c r="C24" s="401" t="s">
        <v>15</v>
      </c>
      <c r="D24" s="401"/>
      <c r="E24" s="401"/>
      <c r="F24" s="66"/>
      <c r="G24" s="10"/>
      <c r="H24" s="10"/>
      <c r="I24" s="10"/>
      <c r="J24" s="10"/>
      <c r="K24" s="10"/>
      <c r="L24" s="10"/>
      <c r="M24" s="10"/>
      <c r="N24" s="10"/>
    </row>
    <row r="25" spans="1:14" ht="21" x14ac:dyDescent="0.3">
      <c r="A25" s="3"/>
      <c r="B25" s="262" t="s">
        <v>793</v>
      </c>
      <c r="C25" s="262"/>
      <c r="D25" s="262"/>
      <c r="E25" s="262"/>
      <c r="F25" s="66"/>
      <c r="G25" s="10"/>
      <c r="H25" s="10"/>
      <c r="I25" s="10"/>
      <c r="J25" s="10"/>
      <c r="K25" s="10"/>
      <c r="L25" s="10"/>
      <c r="M25" s="10"/>
      <c r="N25" s="10"/>
    </row>
    <row r="26" spans="1:14" ht="21" x14ac:dyDescent="0.3">
      <c r="A26" s="3">
        <v>6</v>
      </c>
      <c r="B26" s="261" t="s">
        <v>74</v>
      </c>
      <c r="C26" s="262"/>
      <c r="D26" s="262"/>
      <c r="E26" s="263"/>
      <c r="F26" s="2"/>
      <c r="G26" s="2"/>
      <c r="H26" s="10"/>
      <c r="I26" s="2"/>
      <c r="J26" s="2"/>
      <c r="K26" s="1"/>
      <c r="L26" s="1"/>
      <c r="M26" s="1"/>
      <c r="N26" s="1"/>
    </row>
    <row r="27" spans="1:14" ht="21" x14ac:dyDescent="0.3">
      <c r="A27" s="3"/>
      <c r="B27" s="264" t="s">
        <v>17</v>
      </c>
      <c r="C27" s="265"/>
      <c r="D27" s="265"/>
      <c r="E27" s="266"/>
      <c r="F27" s="66"/>
      <c r="G27" s="1"/>
      <c r="H27" s="1"/>
      <c r="I27" s="1"/>
      <c r="J27" s="1"/>
      <c r="K27" s="1"/>
      <c r="L27" s="1"/>
      <c r="M27" s="1"/>
      <c r="N27" s="1"/>
    </row>
    <row r="28" spans="1:14" ht="21" x14ac:dyDescent="0.3">
      <c r="A28" s="3"/>
      <c r="B28" s="67" t="s">
        <v>18</v>
      </c>
      <c r="C28" s="25" t="s">
        <v>477</v>
      </c>
      <c r="D28" s="25" t="s">
        <v>478</v>
      </c>
      <c r="E28" s="25" t="s">
        <v>479</v>
      </c>
      <c r="F28" s="66"/>
      <c r="G28" s="1"/>
      <c r="H28" s="1"/>
      <c r="I28" s="1"/>
      <c r="J28" s="1"/>
      <c r="K28" s="1"/>
      <c r="L28" s="1"/>
      <c r="M28" s="1"/>
      <c r="N28" s="1"/>
    </row>
    <row r="29" spans="1:14" ht="21" x14ac:dyDescent="0.3">
      <c r="A29" s="3"/>
      <c r="B29" s="68" t="s">
        <v>21</v>
      </c>
      <c r="C29" s="27">
        <v>1527.88</v>
      </c>
      <c r="D29" s="27">
        <v>2002.52</v>
      </c>
      <c r="E29" s="267" t="s">
        <v>22</v>
      </c>
      <c r="F29" s="66"/>
      <c r="G29" s="1"/>
      <c r="H29" s="1"/>
      <c r="I29" s="1"/>
      <c r="J29" s="1"/>
      <c r="K29" s="1"/>
      <c r="L29" s="1"/>
      <c r="M29" s="1"/>
      <c r="N29" s="1"/>
    </row>
    <row r="30" spans="1:14" ht="21" x14ac:dyDescent="0.3">
      <c r="A30" s="3"/>
      <c r="B30" s="68" t="s">
        <v>23</v>
      </c>
      <c r="C30" s="27">
        <v>154.36000000000001</v>
      </c>
      <c r="D30" s="27">
        <v>165.79</v>
      </c>
      <c r="E30" s="268"/>
      <c r="F30" s="66"/>
      <c r="G30" s="1"/>
      <c r="H30" s="1"/>
      <c r="I30" s="1"/>
      <c r="J30" s="1"/>
      <c r="K30" s="1"/>
      <c r="L30" s="1"/>
      <c r="M30" s="1"/>
      <c r="N30" s="1"/>
    </row>
    <row r="31" spans="1:14" ht="21" x14ac:dyDescent="0.3">
      <c r="A31" s="3"/>
      <c r="B31" s="68" t="s">
        <v>24</v>
      </c>
      <c r="C31" s="27">
        <v>444.63</v>
      </c>
      <c r="D31" s="27">
        <v>444.63</v>
      </c>
      <c r="E31" s="268"/>
      <c r="F31" s="66"/>
      <c r="G31" s="1"/>
      <c r="H31" s="194"/>
      <c r="I31" s="1"/>
      <c r="J31" s="1"/>
      <c r="K31" s="1"/>
      <c r="L31" s="1"/>
      <c r="M31" s="1"/>
      <c r="N31" s="1"/>
    </row>
    <row r="32" spans="1:14" ht="21" x14ac:dyDescent="0.3">
      <c r="A32" s="3"/>
      <c r="B32" s="68" t="s">
        <v>25</v>
      </c>
      <c r="C32" s="27">
        <v>943.71</v>
      </c>
      <c r="D32" s="50">
        <v>1109.5</v>
      </c>
      <c r="E32" s="269"/>
      <c r="F32" s="66"/>
      <c r="G32" s="1"/>
      <c r="H32" s="1"/>
      <c r="I32" s="1"/>
      <c r="J32" s="1"/>
      <c r="K32" s="1"/>
      <c r="L32" s="1"/>
      <c r="M32" s="1"/>
      <c r="N32" s="1"/>
    </row>
    <row r="33" spans="1:14" ht="21" x14ac:dyDescent="0.3">
      <c r="A33" s="3"/>
      <c r="B33" s="253" t="s">
        <v>800</v>
      </c>
      <c r="C33" s="270"/>
      <c r="D33" s="270"/>
      <c r="E33" s="254"/>
      <c r="F33" s="66"/>
      <c r="G33" s="1"/>
      <c r="H33" s="1"/>
      <c r="I33" s="1"/>
      <c r="J33" s="1"/>
      <c r="K33" s="1"/>
      <c r="L33" s="1"/>
      <c r="M33" s="1"/>
      <c r="N33" s="1"/>
    </row>
    <row r="34" spans="1:14" ht="21" x14ac:dyDescent="0.3">
      <c r="A34" s="3"/>
      <c r="B34" s="10"/>
      <c r="C34" s="66"/>
      <c r="D34" s="66"/>
      <c r="E34" s="66"/>
      <c r="F34" s="66"/>
      <c r="G34" s="1"/>
      <c r="H34" s="1"/>
      <c r="I34" s="1"/>
      <c r="J34" s="1"/>
      <c r="K34" s="1"/>
      <c r="L34" s="1"/>
      <c r="M34" s="1"/>
      <c r="N34" s="1"/>
    </row>
    <row r="35" spans="1:14" ht="21" x14ac:dyDescent="0.3">
      <c r="A35" s="3">
        <v>7</v>
      </c>
      <c r="B35" s="261" t="s">
        <v>26</v>
      </c>
      <c r="C35" s="262"/>
      <c r="D35" s="262"/>
      <c r="E35" s="263"/>
      <c r="F35" s="2"/>
      <c r="G35" s="2"/>
      <c r="H35" s="2"/>
      <c r="I35" s="2"/>
      <c r="J35" s="2"/>
      <c r="K35" s="1"/>
      <c r="L35" s="1"/>
      <c r="M35" s="1"/>
      <c r="N35" s="1"/>
    </row>
    <row r="36" spans="1:14" ht="21" x14ac:dyDescent="0.3">
      <c r="A36" s="3"/>
      <c r="B36" s="67" t="s">
        <v>247</v>
      </c>
      <c r="C36" s="27" t="s">
        <v>93</v>
      </c>
      <c r="D36" s="5"/>
      <c r="E36" s="5"/>
      <c r="F36" s="10"/>
      <c r="G36" s="1"/>
      <c r="H36" s="1"/>
      <c r="I36" s="1"/>
      <c r="J36" s="1"/>
      <c r="K36" s="1"/>
      <c r="L36" s="1"/>
      <c r="M36" s="1"/>
      <c r="N36" s="1"/>
    </row>
    <row r="37" spans="1:14" ht="21" x14ac:dyDescent="0.3">
      <c r="A37" s="3"/>
      <c r="B37" s="67" t="s">
        <v>28</v>
      </c>
      <c r="C37" s="27" t="s">
        <v>93</v>
      </c>
      <c r="D37" s="10"/>
      <c r="E37" s="10"/>
      <c r="F37" s="10"/>
      <c r="G37" s="1"/>
      <c r="H37" s="1"/>
      <c r="I37" s="1"/>
      <c r="J37" s="1"/>
      <c r="K37" s="1"/>
      <c r="L37" s="1"/>
      <c r="M37" s="1"/>
      <c r="N37" s="1"/>
    </row>
    <row r="38" spans="1:14" ht="21" x14ac:dyDescent="0.3">
      <c r="A38" s="3"/>
      <c r="B38" s="67" t="s">
        <v>29</v>
      </c>
      <c r="C38" s="27" t="s">
        <v>15</v>
      </c>
      <c r="D38" s="10"/>
      <c r="E38" s="10"/>
      <c r="F38" s="10"/>
      <c r="G38" s="1"/>
      <c r="H38" s="1"/>
      <c r="I38" s="1"/>
      <c r="J38" s="1"/>
      <c r="K38" s="1"/>
      <c r="L38" s="1"/>
      <c r="M38" s="1"/>
      <c r="N38" s="1"/>
    </row>
    <row r="39" spans="1:14" ht="21" x14ac:dyDescent="0.3">
      <c r="A39" s="3"/>
      <c r="B39" s="271" t="s">
        <v>514</v>
      </c>
      <c r="C39" s="271"/>
      <c r="D39" s="271"/>
      <c r="E39" s="10"/>
      <c r="F39" s="10"/>
      <c r="G39" s="1"/>
      <c r="H39" s="1"/>
      <c r="I39" s="1"/>
      <c r="J39" s="1"/>
      <c r="K39" s="1"/>
      <c r="L39" s="1"/>
      <c r="M39" s="1"/>
      <c r="N39" s="1"/>
    </row>
    <row r="40" spans="1:14" ht="21" x14ac:dyDescent="0.3">
      <c r="A40" s="3"/>
      <c r="B40" s="66"/>
      <c r="C40" s="10"/>
      <c r="D40" s="10"/>
      <c r="E40" s="10"/>
      <c r="F40" s="10"/>
      <c r="G40" s="1"/>
      <c r="H40" s="1"/>
      <c r="I40" s="1"/>
      <c r="J40" s="1"/>
      <c r="K40" s="1"/>
      <c r="L40" s="1"/>
      <c r="M40" s="1"/>
      <c r="N40" s="1"/>
    </row>
    <row r="41" spans="1:14" ht="21" x14ac:dyDescent="0.3">
      <c r="A41" s="3">
        <v>8</v>
      </c>
      <c r="B41" s="261" t="s">
        <v>30</v>
      </c>
      <c r="C41" s="262"/>
      <c r="D41" s="262"/>
      <c r="E41" s="263"/>
      <c r="F41" s="2"/>
      <c r="G41" s="2"/>
      <c r="H41" s="2"/>
      <c r="I41" s="2"/>
      <c r="J41" s="2"/>
      <c r="K41" s="1"/>
      <c r="L41" s="1"/>
      <c r="M41" s="1"/>
      <c r="N41" s="1"/>
    </row>
    <row r="42" spans="1:14" ht="21" x14ac:dyDescent="0.3">
      <c r="A42" s="3"/>
      <c r="B42" s="67" t="s">
        <v>31</v>
      </c>
      <c r="C42" s="258" t="s">
        <v>85</v>
      </c>
      <c r="D42" s="259"/>
      <c r="E42" s="260"/>
      <c r="F42" s="10"/>
      <c r="G42" s="1"/>
      <c r="H42" s="1"/>
      <c r="I42" s="1"/>
      <c r="J42" s="1"/>
      <c r="K42" s="1"/>
      <c r="L42" s="1"/>
      <c r="M42" s="1"/>
      <c r="N42" s="1"/>
    </row>
    <row r="43" spans="1:14" ht="21" x14ac:dyDescent="0.3">
      <c r="A43" s="3"/>
      <c r="B43" s="67" t="s">
        <v>28</v>
      </c>
      <c r="C43" s="307" t="s">
        <v>979</v>
      </c>
      <c r="D43" s="308"/>
      <c r="E43" s="249"/>
      <c r="F43" s="10"/>
      <c r="G43" s="1"/>
      <c r="H43" s="1"/>
      <c r="I43" s="1"/>
      <c r="J43" s="1"/>
      <c r="K43" s="1"/>
      <c r="L43" s="1"/>
      <c r="M43" s="1"/>
      <c r="N43" s="1"/>
    </row>
    <row r="44" spans="1:14" ht="21" x14ac:dyDescent="0.3">
      <c r="A44" s="3"/>
      <c r="B44" s="67" t="s">
        <v>29</v>
      </c>
      <c r="C44" s="258" t="s">
        <v>15</v>
      </c>
      <c r="D44" s="259"/>
      <c r="E44" s="260"/>
      <c r="F44" s="10"/>
      <c r="G44" s="1"/>
      <c r="H44" s="1"/>
      <c r="I44" s="1"/>
      <c r="J44" s="1"/>
      <c r="K44" s="1"/>
      <c r="L44" s="1"/>
      <c r="M44" s="1"/>
      <c r="N44" s="1"/>
    </row>
    <row r="45" spans="1:14" ht="21" x14ac:dyDescent="0.3">
      <c r="A45" s="3"/>
      <c r="B45" s="253" t="s">
        <v>802</v>
      </c>
      <c r="C45" s="270"/>
      <c r="D45" s="270"/>
      <c r="E45" s="254"/>
      <c r="F45" s="10"/>
      <c r="G45" s="1"/>
      <c r="H45" s="1"/>
      <c r="I45" s="1"/>
      <c r="J45" s="1"/>
      <c r="K45" s="1"/>
      <c r="L45" s="1"/>
      <c r="M45" s="1"/>
      <c r="N45" s="1"/>
    </row>
    <row r="46" spans="1:14" ht="21" x14ac:dyDescent="0.3">
      <c r="A46" s="3"/>
      <c r="B46" s="1"/>
      <c r="C46" s="1"/>
      <c r="D46" s="22"/>
      <c r="E46" s="10"/>
      <c r="F46" s="1"/>
      <c r="G46" s="1"/>
      <c r="H46" s="1"/>
      <c r="I46" s="1"/>
      <c r="J46" s="1"/>
      <c r="K46" s="1"/>
      <c r="L46" s="1"/>
      <c r="M46" s="1"/>
      <c r="N46" s="1"/>
    </row>
    <row r="47" spans="1:14" ht="21" x14ac:dyDescent="0.3">
      <c r="A47" s="191">
        <v>9</v>
      </c>
      <c r="B47" s="262" t="s">
        <v>32</v>
      </c>
      <c r="C47" s="262"/>
      <c r="D47" s="262"/>
      <c r="E47" s="263"/>
      <c r="F47" s="2"/>
      <c r="G47" s="2"/>
      <c r="H47" s="2"/>
      <c r="I47" s="2"/>
      <c r="J47" s="1"/>
      <c r="K47" s="1"/>
      <c r="L47" s="1"/>
      <c r="M47" s="1"/>
      <c r="N47" s="1"/>
    </row>
    <row r="48" spans="1:14" ht="81.599999999999994" x14ac:dyDescent="0.3">
      <c r="A48" s="191"/>
      <c r="B48" s="24" t="s">
        <v>33</v>
      </c>
      <c r="C48" s="25" t="s">
        <v>34</v>
      </c>
      <c r="D48" s="25" t="s">
        <v>96</v>
      </c>
      <c r="E48" s="25" t="s">
        <v>35</v>
      </c>
      <c r="F48" s="1"/>
      <c r="G48" s="1"/>
      <c r="H48" s="1"/>
      <c r="I48" s="1"/>
      <c r="J48" s="1"/>
      <c r="K48" s="1"/>
      <c r="L48" s="1"/>
      <c r="M48" s="1"/>
      <c r="N48" s="1"/>
    </row>
    <row r="49" spans="1:14" ht="105" x14ac:dyDescent="0.3">
      <c r="A49" s="191"/>
      <c r="B49" s="189" t="s">
        <v>512</v>
      </c>
      <c r="C49" s="27" t="s">
        <v>767</v>
      </c>
      <c r="D49" s="27" t="s">
        <v>980</v>
      </c>
      <c r="E49" s="27" t="s">
        <v>121</v>
      </c>
      <c r="F49" s="1"/>
      <c r="G49" s="1"/>
      <c r="H49" s="1"/>
      <c r="I49" s="1"/>
      <c r="J49" s="1"/>
      <c r="K49" s="1"/>
      <c r="L49" s="1"/>
      <c r="M49" s="1"/>
      <c r="N49" s="1"/>
    </row>
    <row r="50" spans="1:14" ht="21" x14ac:dyDescent="0.3">
      <c r="A50" s="191"/>
      <c r="B50" s="270"/>
      <c r="C50" s="270"/>
      <c r="D50" s="270"/>
      <c r="E50" s="254"/>
      <c r="F50" s="1"/>
      <c r="G50" s="1"/>
      <c r="H50" s="1"/>
      <c r="I50" s="1"/>
      <c r="J50" s="1"/>
      <c r="K50" s="1"/>
      <c r="L50" s="1"/>
      <c r="M50" s="1"/>
      <c r="N50" s="1"/>
    </row>
    <row r="51" spans="1:14" ht="21" x14ac:dyDescent="0.3">
      <c r="A51" s="191"/>
      <c r="B51" s="103" t="s">
        <v>981</v>
      </c>
      <c r="C51" s="87"/>
      <c r="D51" s="87"/>
      <c r="E51" s="87"/>
      <c r="F51" s="1"/>
      <c r="G51" s="1"/>
      <c r="H51" s="1"/>
      <c r="I51" s="1"/>
      <c r="J51" s="1"/>
      <c r="K51" s="1"/>
      <c r="L51" s="1"/>
      <c r="M51" s="1"/>
      <c r="N51" s="1"/>
    </row>
    <row r="52" spans="1:14" ht="21" x14ac:dyDescent="0.3">
      <c r="A52" s="191"/>
      <c r="B52" s="28"/>
      <c r="C52" s="22"/>
      <c r="D52" s="22"/>
      <c r="E52" s="22"/>
      <c r="F52" s="66"/>
      <c r="G52" s="66"/>
      <c r="H52" s="66"/>
      <c r="I52" s="66"/>
      <c r="J52" s="1"/>
      <c r="K52" s="1"/>
      <c r="L52" s="1"/>
      <c r="M52" s="1"/>
      <c r="N52" s="1"/>
    </row>
    <row r="53" spans="1:14" ht="21" x14ac:dyDescent="0.3">
      <c r="A53" s="191">
        <v>10</v>
      </c>
      <c r="B53" s="262" t="s">
        <v>32</v>
      </c>
      <c r="C53" s="262"/>
      <c r="D53" s="262"/>
      <c r="E53" s="263"/>
      <c r="F53" s="66"/>
      <c r="G53" s="66"/>
      <c r="H53" s="66"/>
      <c r="I53" s="1"/>
      <c r="J53" s="1"/>
      <c r="K53" s="1"/>
      <c r="L53" s="1"/>
      <c r="M53" s="1"/>
      <c r="N53" s="1"/>
    </row>
    <row r="54" spans="1:14" ht="21" x14ac:dyDescent="0.3">
      <c r="A54" s="191"/>
      <c r="B54" s="275" t="s">
        <v>36</v>
      </c>
      <c r="C54" s="277" t="s">
        <v>768</v>
      </c>
      <c r="D54" s="278"/>
      <c r="E54" s="279"/>
      <c r="F54" s="1"/>
      <c r="G54" s="1"/>
      <c r="H54" s="1"/>
      <c r="I54" s="1"/>
      <c r="J54" s="1"/>
      <c r="K54" s="2"/>
      <c r="L54" s="1"/>
      <c r="M54" s="1"/>
      <c r="N54" s="1"/>
    </row>
    <row r="55" spans="1:14" ht="21" x14ac:dyDescent="0.3">
      <c r="A55" s="191"/>
      <c r="B55" s="276"/>
      <c r="C55" s="280"/>
      <c r="D55" s="281"/>
      <c r="E55" s="282"/>
      <c r="F55" s="1"/>
      <c r="G55" s="1"/>
      <c r="H55" s="1"/>
      <c r="I55" s="1"/>
      <c r="J55" s="1"/>
      <c r="K55" s="2"/>
      <c r="L55" s="1"/>
      <c r="M55" s="1"/>
      <c r="N55" s="1"/>
    </row>
    <row r="56" spans="1:14" ht="21" x14ac:dyDescent="0.3">
      <c r="A56" s="191"/>
      <c r="B56" s="29" t="s">
        <v>37</v>
      </c>
      <c r="C56" s="283" t="s">
        <v>982</v>
      </c>
      <c r="D56" s="284"/>
      <c r="E56" s="285"/>
      <c r="F56" s="1"/>
      <c r="G56" s="1"/>
      <c r="H56" s="1"/>
      <c r="I56" s="1"/>
      <c r="J56" s="1"/>
      <c r="K56" s="1"/>
      <c r="L56" s="1"/>
      <c r="M56" s="1"/>
      <c r="N56" s="1"/>
    </row>
    <row r="57" spans="1:14" ht="21" x14ac:dyDescent="0.3">
      <c r="A57" s="191"/>
      <c r="B57" s="29" t="s">
        <v>38</v>
      </c>
      <c r="C57" s="286" t="s">
        <v>121</v>
      </c>
      <c r="D57" s="287"/>
      <c r="E57" s="288"/>
      <c r="F57" s="1"/>
      <c r="G57" s="1"/>
      <c r="H57" s="1"/>
      <c r="I57" s="1"/>
      <c r="J57" s="1"/>
      <c r="K57" s="30"/>
      <c r="L57" s="1"/>
      <c r="M57" s="1"/>
      <c r="N57" s="1"/>
    </row>
    <row r="58" spans="1:14" ht="21" x14ac:dyDescent="0.4">
      <c r="A58" s="111" t="s">
        <v>39</v>
      </c>
      <c r="B58" s="290" t="s">
        <v>721</v>
      </c>
      <c r="C58" s="290"/>
      <c r="D58" s="290"/>
      <c r="E58" s="291"/>
      <c r="F58" s="32"/>
      <c r="G58" s="32"/>
      <c r="H58" s="32"/>
      <c r="I58" s="32"/>
      <c r="J58" s="32"/>
      <c r="K58" s="32"/>
      <c r="L58" s="32"/>
      <c r="M58" s="32"/>
      <c r="N58" s="32"/>
    </row>
    <row r="59" spans="1:14" ht="21" x14ac:dyDescent="0.3">
      <c r="A59" s="191"/>
      <c r="B59" s="307" t="s">
        <v>981</v>
      </c>
      <c r="C59" s="308"/>
      <c r="D59" s="308"/>
      <c r="E59" s="308"/>
      <c r="F59" s="73"/>
      <c r="G59" s="1"/>
      <c r="H59" s="1"/>
      <c r="I59" s="1"/>
      <c r="J59" s="1"/>
      <c r="K59" s="1"/>
      <c r="L59" s="1"/>
      <c r="M59" s="1"/>
      <c r="N59" s="1"/>
    </row>
    <row r="60" spans="1:14" ht="21" x14ac:dyDescent="0.3">
      <c r="A60" s="3">
        <v>11</v>
      </c>
      <c r="B60" s="54" t="s">
        <v>41</v>
      </c>
      <c r="C60" s="270" t="s">
        <v>121</v>
      </c>
      <c r="D60" s="270"/>
      <c r="E60" s="270"/>
      <c r="F60" s="2"/>
      <c r="G60" s="2"/>
      <c r="H60" s="74"/>
      <c r="I60" s="2"/>
      <c r="J60" s="2"/>
      <c r="K60" s="1"/>
      <c r="L60" s="1"/>
      <c r="M60" s="1"/>
      <c r="N60" s="1"/>
    </row>
    <row r="61" spans="1:14" ht="21" x14ac:dyDescent="0.3">
      <c r="A61" s="3"/>
      <c r="B61" s="66"/>
      <c r="C61" s="270"/>
      <c r="D61" s="270"/>
      <c r="E61" s="270"/>
      <c r="F61" s="66"/>
      <c r="G61" s="66"/>
      <c r="H61" s="75"/>
      <c r="I61" s="75"/>
      <c r="J61" s="66"/>
      <c r="K61" s="1"/>
      <c r="L61" s="1"/>
      <c r="M61" s="1"/>
      <c r="N61" s="1"/>
    </row>
    <row r="62" spans="1:14" ht="21" x14ac:dyDescent="0.3">
      <c r="A62" s="76">
        <v>12</v>
      </c>
      <c r="B62" s="77" t="s">
        <v>42</v>
      </c>
      <c r="C62" s="272"/>
      <c r="D62" s="273"/>
      <c r="E62" s="274"/>
      <c r="F62" s="78"/>
      <c r="G62" s="79"/>
      <c r="H62" s="79"/>
      <c r="I62" s="79"/>
      <c r="J62" s="79"/>
      <c r="K62" s="79"/>
      <c r="L62" s="79"/>
      <c r="M62" s="79"/>
      <c r="N62" s="79"/>
    </row>
    <row r="63" spans="1:14" ht="20.399999999999999" x14ac:dyDescent="0.3">
      <c r="A63" s="3"/>
      <c r="B63" s="2"/>
      <c r="C63" s="2"/>
      <c r="D63" s="2"/>
      <c r="E63" s="74"/>
      <c r="F63" s="74"/>
      <c r="G63" s="74"/>
      <c r="H63" s="2"/>
      <c r="I63" s="2"/>
      <c r="J63" s="2"/>
      <c r="K63" s="2"/>
      <c r="L63" s="2"/>
      <c r="M63" s="2"/>
      <c r="N63" s="2"/>
    </row>
    <row r="64" spans="1:14" ht="21" x14ac:dyDescent="0.3">
      <c r="A64" s="3"/>
      <c r="B64" s="67" t="s">
        <v>43</v>
      </c>
      <c r="C64" s="68" t="s">
        <v>513</v>
      </c>
      <c r="D64" s="66"/>
      <c r="E64" s="66"/>
      <c r="F64" s="75"/>
      <c r="G64" s="75"/>
      <c r="H64" s="66"/>
      <c r="I64" s="66"/>
      <c r="J64" s="66"/>
      <c r="K64" s="66"/>
      <c r="L64" s="66"/>
      <c r="M64" s="66"/>
      <c r="N64" s="66"/>
    </row>
    <row r="65" spans="1:14" ht="20.399999999999999" x14ac:dyDescent="0.3">
      <c r="A65" s="3"/>
      <c r="B65" s="66"/>
      <c r="C65" s="66"/>
      <c r="D65" s="66"/>
      <c r="E65" s="66"/>
      <c r="F65" s="66"/>
      <c r="G65" s="66"/>
      <c r="H65" s="66"/>
      <c r="I65" s="66"/>
      <c r="J65" s="66"/>
      <c r="K65" s="66"/>
      <c r="L65" s="66"/>
      <c r="M65" s="66"/>
      <c r="N65" s="66"/>
    </row>
    <row r="66" spans="1:14" ht="20.399999999999999" x14ac:dyDescent="0.3">
      <c r="A66" s="3"/>
      <c r="B66" s="295" t="s">
        <v>44</v>
      </c>
      <c r="C66" s="295" t="s">
        <v>516</v>
      </c>
      <c r="D66" s="295" t="s">
        <v>68</v>
      </c>
      <c r="E66" s="297" t="s">
        <v>45</v>
      </c>
      <c r="F66" s="292" t="s">
        <v>480</v>
      </c>
      <c r="G66" s="293"/>
      <c r="H66" s="294"/>
      <c r="I66" s="292" t="s">
        <v>481</v>
      </c>
      <c r="J66" s="293"/>
      <c r="K66" s="294"/>
      <c r="L66" s="292" t="s">
        <v>482</v>
      </c>
      <c r="M66" s="293"/>
      <c r="N66" s="294"/>
    </row>
    <row r="67" spans="1:14" ht="102" x14ac:dyDescent="0.3">
      <c r="A67" s="3"/>
      <c r="B67" s="296"/>
      <c r="C67" s="296"/>
      <c r="D67" s="296"/>
      <c r="E67" s="298"/>
      <c r="F67" s="67" t="s">
        <v>46</v>
      </c>
      <c r="G67" s="67" t="s">
        <v>47</v>
      </c>
      <c r="H67" s="67" t="s">
        <v>48</v>
      </c>
      <c r="I67" s="67" t="s">
        <v>49</v>
      </c>
      <c r="J67" s="67" t="s">
        <v>47</v>
      </c>
      <c r="K67" s="67" t="s">
        <v>48</v>
      </c>
      <c r="L67" s="67" t="s">
        <v>49</v>
      </c>
      <c r="M67" s="67" t="s">
        <v>47</v>
      </c>
      <c r="N67" s="67" t="s">
        <v>48</v>
      </c>
    </row>
    <row r="68" spans="1:14" ht="21" x14ac:dyDescent="0.3">
      <c r="A68" s="3"/>
      <c r="B68" s="67" t="s">
        <v>66</v>
      </c>
      <c r="C68" s="82">
        <v>86.6</v>
      </c>
      <c r="D68" s="82">
        <v>64.099999999999994</v>
      </c>
      <c r="E68" s="82">
        <v>54.3</v>
      </c>
      <c r="F68" s="121">
        <v>38.85</v>
      </c>
      <c r="G68" s="121">
        <v>86.6</v>
      </c>
      <c r="H68" s="121">
        <v>36.549999999999997</v>
      </c>
      <c r="I68" s="121">
        <v>40.9</v>
      </c>
      <c r="J68" s="121">
        <v>56.3</v>
      </c>
      <c r="K68" s="121">
        <v>35.75</v>
      </c>
      <c r="L68" s="345" t="s">
        <v>108</v>
      </c>
      <c r="M68" s="346"/>
      <c r="N68" s="347"/>
    </row>
    <row r="69" spans="1:14" ht="40.799999999999997" x14ac:dyDescent="0.3">
      <c r="A69" s="3"/>
      <c r="B69" s="69" t="s">
        <v>807</v>
      </c>
      <c r="C69" s="82">
        <v>24852.15</v>
      </c>
      <c r="D69" s="82">
        <v>24795.75</v>
      </c>
      <c r="E69" s="82">
        <v>24467.45</v>
      </c>
      <c r="F69" s="121">
        <v>23519.35</v>
      </c>
      <c r="G69" s="121">
        <v>26277.35</v>
      </c>
      <c r="H69" s="121">
        <v>21281.45</v>
      </c>
      <c r="I69" s="121">
        <v>22331.4</v>
      </c>
      <c r="J69" s="121">
        <v>26373.200000000001</v>
      </c>
      <c r="K69" s="121">
        <v>21743.65</v>
      </c>
      <c r="L69" s="348"/>
      <c r="M69" s="349"/>
      <c r="N69" s="350"/>
    </row>
    <row r="70" spans="1:14" ht="21" x14ac:dyDescent="0.3">
      <c r="A70" s="3"/>
      <c r="B70" s="253" t="s">
        <v>808</v>
      </c>
      <c r="C70" s="270"/>
      <c r="D70" s="270"/>
      <c r="E70" s="270"/>
      <c r="F70" s="270"/>
      <c r="G70" s="270"/>
      <c r="H70" s="270"/>
      <c r="I70" s="270"/>
      <c r="J70" s="270"/>
      <c r="K70" s="270"/>
      <c r="L70" s="270"/>
      <c r="M70" s="270"/>
      <c r="N70" s="254"/>
    </row>
    <row r="71" spans="1:14" ht="21" x14ac:dyDescent="0.3">
      <c r="A71" s="3"/>
      <c r="B71" s="253" t="s">
        <v>84</v>
      </c>
      <c r="C71" s="270"/>
      <c r="D71" s="270"/>
      <c r="E71" s="270"/>
      <c r="F71" s="254"/>
      <c r="G71" s="83"/>
      <c r="H71" s="83"/>
      <c r="I71" s="83"/>
      <c r="J71" s="83"/>
      <c r="K71" s="83"/>
      <c r="L71" s="83"/>
      <c r="M71" s="83"/>
      <c r="N71" s="83"/>
    </row>
    <row r="72" spans="1:14" ht="21" x14ac:dyDescent="0.3">
      <c r="A72" s="3"/>
      <c r="B72" s="253" t="s">
        <v>70</v>
      </c>
      <c r="C72" s="270"/>
      <c r="D72" s="270"/>
      <c r="E72" s="270"/>
      <c r="F72" s="254"/>
      <c r="G72" s="83"/>
      <c r="H72" s="83"/>
      <c r="I72" s="83"/>
      <c r="J72" s="83"/>
      <c r="K72" s="83"/>
      <c r="L72" s="83"/>
      <c r="M72" s="83"/>
      <c r="N72" s="83"/>
    </row>
    <row r="73" spans="1:14" ht="21" x14ac:dyDescent="0.3">
      <c r="A73" s="3"/>
      <c r="B73" s="253" t="s">
        <v>71</v>
      </c>
      <c r="C73" s="270"/>
      <c r="D73" s="270"/>
      <c r="E73" s="270"/>
      <c r="F73" s="254"/>
      <c r="G73" s="83"/>
      <c r="H73" s="83"/>
      <c r="I73" s="83"/>
      <c r="J73" s="83"/>
      <c r="K73" s="83"/>
      <c r="L73" s="83"/>
      <c r="M73" s="83"/>
      <c r="N73" s="83"/>
    </row>
    <row r="74" spans="1:14" ht="21" x14ac:dyDescent="0.3">
      <c r="A74" s="3"/>
      <c r="B74" s="270" t="s">
        <v>973</v>
      </c>
      <c r="C74" s="270"/>
      <c r="D74" s="84"/>
      <c r="E74" s="84"/>
      <c r="F74" s="84"/>
      <c r="G74" s="10"/>
      <c r="H74" s="10"/>
      <c r="I74" s="10"/>
      <c r="J74" s="10"/>
      <c r="K74" s="10"/>
      <c r="L74" s="10"/>
      <c r="M74" s="10"/>
      <c r="N74" s="10"/>
    </row>
    <row r="75" spans="1:14" ht="20.399999999999999" x14ac:dyDescent="0.3">
      <c r="A75" s="3">
        <v>13</v>
      </c>
      <c r="B75" s="261" t="s">
        <v>51</v>
      </c>
      <c r="C75" s="262"/>
      <c r="D75" s="262"/>
      <c r="E75" s="262"/>
      <c r="F75" s="262"/>
      <c r="G75" s="263"/>
      <c r="H75" s="2"/>
      <c r="I75" s="2"/>
      <c r="J75" s="2"/>
      <c r="K75" s="2"/>
      <c r="L75" s="2"/>
      <c r="M75" s="2"/>
      <c r="N75" s="2"/>
    </row>
    <row r="76" spans="1:14" ht="21" x14ac:dyDescent="0.3">
      <c r="A76" s="3"/>
      <c r="B76" s="1"/>
      <c r="C76" s="66"/>
      <c r="D76" s="66"/>
      <c r="E76" s="66"/>
      <c r="F76" s="66"/>
      <c r="G76" s="66"/>
      <c r="H76" s="66"/>
      <c r="I76" s="66"/>
      <c r="J76" s="66"/>
      <c r="K76" s="66"/>
      <c r="L76" s="66"/>
      <c r="M76" s="66"/>
      <c r="N76" s="66"/>
    </row>
    <row r="77" spans="1:14" ht="40.799999999999997" x14ac:dyDescent="0.3">
      <c r="A77" s="3"/>
      <c r="B77" s="25" t="s">
        <v>52</v>
      </c>
      <c r="C77" s="25" t="s">
        <v>53</v>
      </c>
      <c r="D77" s="25" t="s">
        <v>603</v>
      </c>
      <c r="E77" s="25" t="s">
        <v>54</v>
      </c>
      <c r="F77" s="25" t="s">
        <v>55</v>
      </c>
      <c r="G77" s="25" t="s">
        <v>56</v>
      </c>
      <c r="H77" s="10"/>
      <c r="I77" s="10"/>
      <c r="J77" s="10"/>
      <c r="K77" s="10"/>
      <c r="L77" s="10"/>
      <c r="M77" s="10"/>
      <c r="N77" s="10"/>
    </row>
    <row r="78" spans="1:14" ht="21" x14ac:dyDescent="0.3">
      <c r="A78" s="3"/>
      <c r="B78" s="297" t="s">
        <v>72</v>
      </c>
      <c r="C78" s="54" t="s">
        <v>517</v>
      </c>
      <c r="D78" s="151">
        <v>3.38</v>
      </c>
      <c r="E78" s="88">
        <v>3.97</v>
      </c>
      <c r="F78" s="88">
        <v>3.73</v>
      </c>
      <c r="G78" s="311" t="s">
        <v>83</v>
      </c>
      <c r="H78" s="1"/>
      <c r="I78" s="1"/>
      <c r="J78" s="1"/>
      <c r="K78" s="1"/>
      <c r="L78" s="1"/>
      <c r="M78" s="1"/>
      <c r="N78" s="1"/>
    </row>
    <row r="79" spans="1:14" ht="21" x14ac:dyDescent="0.3">
      <c r="A79" s="3"/>
      <c r="B79" s="309"/>
      <c r="C79" s="54" t="s">
        <v>237</v>
      </c>
      <c r="D79" s="135"/>
      <c r="E79" s="88"/>
      <c r="F79" s="88"/>
      <c r="G79" s="311"/>
      <c r="H79" s="1"/>
      <c r="I79" s="1"/>
      <c r="J79" s="1"/>
      <c r="K79" s="1"/>
      <c r="L79" s="1"/>
      <c r="M79" s="1"/>
      <c r="N79" s="1"/>
    </row>
    <row r="80" spans="1:14" ht="21" x14ac:dyDescent="0.3">
      <c r="A80" s="3"/>
      <c r="B80" s="309"/>
      <c r="C80" s="5" t="s">
        <v>819</v>
      </c>
      <c r="D80" s="135">
        <v>-1.19</v>
      </c>
      <c r="E80" s="88">
        <v>-0.47</v>
      </c>
      <c r="F80" s="88">
        <v>0.08</v>
      </c>
      <c r="G80" s="311"/>
      <c r="H80" s="1"/>
      <c r="I80" s="1"/>
      <c r="J80" s="1"/>
      <c r="K80" s="1"/>
      <c r="L80" s="1"/>
      <c r="M80" s="1"/>
      <c r="N80" s="1"/>
    </row>
    <row r="81" spans="1:14" ht="21" x14ac:dyDescent="0.3">
      <c r="A81" s="3"/>
      <c r="B81" s="309"/>
      <c r="C81" s="5" t="s">
        <v>820</v>
      </c>
      <c r="D81" s="135">
        <v>-1.19</v>
      </c>
      <c r="E81" s="88">
        <v>-0.44</v>
      </c>
      <c r="F81" s="88">
        <v>0.06</v>
      </c>
      <c r="G81" s="311"/>
      <c r="H81" s="1"/>
      <c r="I81" s="1"/>
      <c r="J81" s="1"/>
      <c r="K81" s="1"/>
      <c r="L81" s="1"/>
      <c r="M81" s="1"/>
      <c r="N81" s="1"/>
    </row>
    <row r="82" spans="1:14" ht="21" x14ac:dyDescent="0.3">
      <c r="A82" s="3"/>
      <c r="B82" s="309"/>
      <c r="C82" s="5" t="s">
        <v>519</v>
      </c>
      <c r="D82" s="135">
        <v>-6.53</v>
      </c>
      <c r="E82" s="90">
        <v>-4.9000000000000004</v>
      </c>
      <c r="F82" s="88">
        <v>1.26</v>
      </c>
      <c r="G82" s="311"/>
      <c r="H82" s="1"/>
      <c r="I82" s="1"/>
      <c r="J82" s="1"/>
      <c r="K82" s="1"/>
      <c r="L82" s="1"/>
      <c r="M82" s="1"/>
      <c r="N82" s="1"/>
    </row>
    <row r="83" spans="1:14" ht="21" x14ac:dyDescent="0.3">
      <c r="A83" s="3"/>
      <c r="B83" s="309"/>
      <c r="C83" s="5" t="s">
        <v>520</v>
      </c>
      <c r="D83" s="135">
        <v>24.24</v>
      </c>
      <c r="E83" s="88">
        <v>25.43</v>
      </c>
      <c r="F83" s="88">
        <v>33.86</v>
      </c>
      <c r="G83" s="311"/>
      <c r="H83" s="1"/>
      <c r="I83" s="1"/>
      <c r="J83" s="1"/>
      <c r="K83" s="1"/>
      <c r="L83" s="1"/>
      <c r="M83" s="1"/>
      <c r="N83" s="1"/>
    </row>
    <row r="84" spans="1:14" ht="21" x14ac:dyDescent="0.3">
      <c r="A84" s="3"/>
      <c r="B84" s="298"/>
      <c r="C84" s="54" t="s">
        <v>295</v>
      </c>
      <c r="D84" s="140">
        <f>AVERAGE(D80:D83)</f>
        <v>3.8324999999999996</v>
      </c>
      <c r="E84" s="140">
        <f>AVERAGE(E80:E83)</f>
        <v>4.9049999999999994</v>
      </c>
      <c r="F84" s="157">
        <f>AVERAGE(F80:F83)</f>
        <v>8.8149999999999995</v>
      </c>
      <c r="G84" s="311"/>
      <c r="H84" s="1"/>
      <c r="I84" s="1"/>
      <c r="J84" s="1"/>
      <c r="K84" s="1"/>
      <c r="L84" s="1"/>
      <c r="M84" s="1"/>
      <c r="N84" s="1"/>
    </row>
    <row r="85" spans="1:14" ht="21" x14ac:dyDescent="0.3">
      <c r="A85" s="3"/>
      <c r="B85" s="297" t="s">
        <v>59</v>
      </c>
      <c r="C85" s="54" t="s">
        <v>536</v>
      </c>
      <c r="D85" s="141">
        <v>19.53</v>
      </c>
      <c r="E85" s="90">
        <f>F68/E78</f>
        <v>9.7858942065491181</v>
      </c>
      <c r="F85" s="90">
        <f>I68/F78</f>
        <v>10.965147453083109</v>
      </c>
      <c r="G85" s="311"/>
      <c r="H85" s="1"/>
      <c r="I85" s="1"/>
      <c r="J85" s="1"/>
      <c r="K85" s="1"/>
      <c r="L85" s="1"/>
      <c r="M85" s="1"/>
      <c r="N85" s="1"/>
    </row>
    <row r="86" spans="1:14" ht="21" x14ac:dyDescent="0.3">
      <c r="A86" s="3"/>
      <c r="B86" s="309"/>
      <c r="C86" s="54" t="s">
        <v>237</v>
      </c>
      <c r="D86" s="135"/>
      <c r="E86" s="88"/>
      <c r="F86" s="88"/>
      <c r="G86" s="311"/>
      <c r="H86" s="1"/>
      <c r="I86" s="1"/>
      <c r="J86" s="1"/>
      <c r="K86" s="1"/>
      <c r="L86" s="1"/>
      <c r="M86" s="1"/>
      <c r="N86" s="1"/>
    </row>
    <row r="87" spans="1:14" ht="21" x14ac:dyDescent="0.3">
      <c r="A87" s="3"/>
      <c r="B87" s="309"/>
      <c r="C87" s="5" t="s">
        <v>518</v>
      </c>
      <c r="D87" s="135">
        <v>-166.39</v>
      </c>
      <c r="E87" s="90">
        <f>321.2/E80</f>
        <v>-683.404255319149</v>
      </c>
      <c r="F87" s="90">
        <f>205.55/F80</f>
        <v>2569.375</v>
      </c>
      <c r="G87" s="311"/>
      <c r="H87" s="1"/>
      <c r="I87" s="1"/>
      <c r="J87" s="1"/>
      <c r="K87" s="1"/>
      <c r="L87" s="1"/>
      <c r="M87" s="1"/>
      <c r="N87" s="1"/>
    </row>
    <row r="88" spans="1:14" ht="21" x14ac:dyDescent="0.3">
      <c r="A88" s="3"/>
      <c r="B88" s="309"/>
      <c r="C88" s="5" t="s">
        <v>519</v>
      </c>
      <c r="D88" s="135">
        <v>-4.18</v>
      </c>
      <c r="E88" s="90">
        <f>16.57/E82</f>
        <v>-3.3816326530612244</v>
      </c>
      <c r="F88" s="90">
        <f>9.76/F82</f>
        <v>7.746031746031746</v>
      </c>
      <c r="G88" s="311"/>
      <c r="H88" s="1"/>
      <c r="I88" s="1"/>
      <c r="J88" s="1"/>
      <c r="K88" s="1"/>
      <c r="L88" s="1"/>
      <c r="M88" s="1"/>
      <c r="N88" s="1"/>
    </row>
    <row r="89" spans="1:14" ht="21" x14ac:dyDescent="0.3">
      <c r="A89" s="3"/>
      <c r="B89" s="309"/>
      <c r="C89" s="5" t="s">
        <v>520</v>
      </c>
      <c r="D89" s="135">
        <v>57.71</v>
      </c>
      <c r="E89" s="90">
        <f>745.55/E83</f>
        <v>29.317734958710183</v>
      </c>
      <c r="F89" s="90">
        <f>792.95/F83</f>
        <v>23.418487891317191</v>
      </c>
      <c r="G89" s="311"/>
      <c r="H89" s="1"/>
      <c r="I89" s="1"/>
      <c r="J89" s="1"/>
      <c r="K89" s="1"/>
      <c r="L89" s="1"/>
      <c r="M89" s="1"/>
      <c r="N89" s="1"/>
    </row>
    <row r="90" spans="1:14" ht="21" x14ac:dyDescent="0.3">
      <c r="A90" s="3"/>
      <c r="B90" s="298"/>
      <c r="C90" s="54" t="s">
        <v>295</v>
      </c>
      <c r="D90" s="140">
        <f>AVERAGE(D87:D89)</f>
        <v>-37.619999999999997</v>
      </c>
      <c r="E90" s="140">
        <f>AVERAGE(E87:E89)</f>
        <v>-219.15605100450003</v>
      </c>
      <c r="F90" s="157">
        <f>AVERAGE(F87:F89)</f>
        <v>866.84650654578297</v>
      </c>
      <c r="G90" s="311"/>
      <c r="H90" s="1"/>
      <c r="I90" s="1"/>
      <c r="J90" s="1"/>
      <c r="K90" s="1"/>
      <c r="L90" s="1"/>
      <c r="M90" s="1"/>
      <c r="N90" s="1"/>
    </row>
    <row r="91" spans="1:14" ht="21" x14ac:dyDescent="0.3">
      <c r="A91" s="3"/>
      <c r="B91" s="297" t="s">
        <v>60</v>
      </c>
      <c r="C91" s="54" t="s">
        <v>517</v>
      </c>
      <c r="D91" s="142">
        <v>0.22309999999999999</v>
      </c>
      <c r="E91" s="90">
        <v>11.2</v>
      </c>
      <c r="F91" s="88">
        <v>10.67</v>
      </c>
      <c r="G91" s="311"/>
      <c r="H91" s="1"/>
      <c r="I91" s="1"/>
      <c r="J91" s="1"/>
      <c r="K91" s="1"/>
      <c r="L91" s="1"/>
      <c r="M91" s="1"/>
      <c r="N91" s="1"/>
    </row>
    <row r="92" spans="1:14" ht="21" x14ac:dyDescent="0.3">
      <c r="A92" s="3"/>
      <c r="B92" s="309"/>
      <c r="C92" s="54" t="s">
        <v>237</v>
      </c>
      <c r="D92" s="5"/>
      <c r="E92" s="88"/>
      <c r="F92" s="88"/>
      <c r="G92" s="311"/>
      <c r="H92" s="1"/>
      <c r="I92" s="1"/>
      <c r="J92" s="1"/>
      <c r="K92" s="1"/>
      <c r="L92" s="1"/>
      <c r="M92" s="1"/>
      <c r="N92" s="1"/>
    </row>
    <row r="93" spans="1:14" ht="21" x14ac:dyDescent="0.3">
      <c r="A93" s="3"/>
      <c r="B93" s="309"/>
      <c r="C93" s="5" t="s">
        <v>518</v>
      </c>
      <c r="D93" s="126">
        <v>-2.8899999999999999E-2</v>
      </c>
      <c r="E93" s="88">
        <v>-0.44</v>
      </c>
      <c r="F93" s="88">
        <v>0.13</v>
      </c>
      <c r="G93" s="311"/>
      <c r="H93" s="1"/>
      <c r="I93" s="1"/>
      <c r="J93" s="1"/>
      <c r="K93" s="1"/>
      <c r="L93" s="1"/>
      <c r="M93" s="1"/>
      <c r="N93" s="1"/>
    </row>
    <row r="94" spans="1:14" ht="21" x14ac:dyDescent="0.3">
      <c r="A94" s="3"/>
      <c r="B94" s="309"/>
      <c r="C94" s="5" t="s">
        <v>519</v>
      </c>
      <c r="D94" s="126">
        <v>-0.2492</v>
      </c>
      <c r="E94" s="88">
        <v>-49.62</v>
      </c>
      <c r="F94" s="88">
        <v>8.5399999999999991</v>
      </c>
      <c r="G94" s="311"/>
      <c r="H94" s="1"/>
      <c r="I94" s="1"/>
      <c r="J94" s="1"/>
      <c r="K94" s="1"/>
      <c r="L94" s="1"/>
      <c r="M94" s="1"/>
      <c r="N94" s="1"/>
    </row>
    <row r="95" spans="1:14" ht="21" x14ac:dyDescent="0.3">
      <c r="A95" s="3"/>
      <c r="B95" s="309"/>
      <c r="C95" s="5" t="s">
        <v>520</v>
      </c>
      <c r="D95" s="126">
        <v>0.2036</v>
      </c>
      <c r="E95" s="88">
        <v>254.31</v>
      </c>
      <c r="F95" s="88">
        <v>19.329999999999998</v>
      </c>
      <c r="G95" s="311"/>
      <c r="H95" s="1"/>
      <c r="I95" s="1"/>
      <c r="J95" s="1"/>
      <c r="K95" s="1"/>
      <c r="L95" s="1"/>
      <c r="M95" s="1"/>
      <c r="N95" s="1"/>
    </row>
    <row r="96" spans="1:14" ht="21" x14ac:dyDescent="0.3">
      <c r="A96" s="3"/>
      <c r="B96" s="298"/>
      <c r="C96" s="54" t="s">
        <v>295</v>
      </c>
      <c r="D96" s="140">
        <f>AVERAGE(D93:D95)</f>
        <v>-2.4833333333333336E-2</v>
      </c>
      <c r="E96" s="140">
        <f>AVERAGE(E93:E95)</f>
        <v>68.083333333333329</v>
      </c>
      <c r="F96" s="157">
        <f>AVERAGE(F93:F95)</f>
        <v>9.3333333333333339</v>
      </c>
      <c r="G96" s="311"/>
      <c r="H96" s="1"/>
      <c r="I96" s="1"/>
      <c r="J96" s="1"/>
      <c r="K96" s="1"/>
      <c r="L96" s="1"/>
      <c r="M96" s="1"/>
      <c r="N96" s="1"/>
    </row>
    <row r="97" spans="1:14" ht="21" x14ac:dyDescent="0.3">
      <c r="A97" s="3"/>
      <c r="B97" s="310" t="s">
        <v>61</v>
      </c>
      <c r="C97" s="54" t="s">
        <v>536</v>
      </c>
      <c r="D97" s="135">
        <v>14.28</v>
      </c>
      <c r="E97" s="88">
        <v>31.22</v>
      </c>
      <c r="F97" s="88">
        <v>34.950000000000003</v>
      </c>
      <c r="G97" s="311"/>
      <c r="H97" s="1"/>
      <c r="I97" s="1"/>
      <c r="J97" s="1"/>
      <c r="K97" s="1"/>
      <c r="L97" s="1"/>
      <c r="M97" s="1"/>
      <c r="N97" s="1"/>
    </row>
    <row r="98" spans="1:14" ht="21" x14ac:dyDescent="0.3">
      <c r="A98" s="3"/>
      <c r="B98" s="310"/>
      <c r="C98" s="54" t="s">
        <v>237</v>
      </c>
      <c r="D98" s="135"/>
      <c r="E98" s="88"/>
      <c r="F98" s="88"/>
      <c r="G98" s="311"/>
      <c r="H98" s="1"/>
      <c r="I98" s="1"/>
      <c r="J98" s="1"/>
      <c r="K98" s="1"/>
      <c r="L98" s="1"/>
      <c r="M98" s="1"/>
      <c r="N98" s="1"/>
    </row>
    <row r="99" spans="1:14" ht="21" x14ac:dyDescent="0.3">
      <c r="A99" s="3"/>
      <c r="B99" s="310"/>
      <c r="C99" s="5" t="s">
        <v>518</v>
      </c>
      <c r="D99" s="135">
        <v>41.07</v>
      </c>
      <c r="E99" s="90">
        <v>86.9</v>
      </c>
      <c r="F99" s="88">
        <v>55.73</v>
      </c>
      <c r="G99" s="311"/>
      <c r="H99" s="1"/>
      <c r="I99" s="1"/>
      <c r="J99" s="1"/>
      <c r="K99" s="1"/>
      <c r="L99" s="1"/>
      <c r="M99" s="1"/>
      <c r="N99" s="1"/>
    </row>
    <row r="100" spans="1:14" ht="21" x14ac:dyDescent="0.3">
      <c r="A100" s="3"/>
      <c r="B100" s="310"/>
      <c r="C100" s="5" t="s">
        <v>519</v>
      </c>
      <c r="D100" s="135">
        <v>26.21</v>
      </c>
      <c r="E100" s="88">
        <v>17.52</v>
      </c>
      <c r="F100" s="88">
        <v>19.079999999999998</v>
      </c>
      <c r="G100" s="311"/>
      <c r="H100" s="1"/>
      <c r="I100" s="1"/>
      <c r="J100" s="1"/>
      <c r="K100" s="1"/>
      <c r="L100" s="1"/>
      <c r="M100" s="1"/>
      <c r="N100" s="1"/>
    </row>
    <row r="101" spans="1:14" ht="21" x14ac:dyDescent="0.3">
      <c r="A101" s="3"/>
      <c r="B101" s="310"/>
      <c r="C101" s="5" t="s">
        <v>520</v>
      </c>
      <c r="D101" s="135">
        <v>119.11</v>
      </c>
      <c r="E101" s="90">
        <v>10</v>
      </c>
      <c r="F101" s="88">
        <v>175.17</v>
      </c>
      <c r="G101" s="311"/>
      <c r="H101" s="1"/>
      <c r="I101" s="1"/>
      <c r="J101" s="1"/>
      <c r="K101" s="1"/>
      <c r="L101" s="1"/>
      <c r="M101" s="1"/>
      <c r="N101" s="1"/>
    </row>
    <row r="102" spans="1:14" ht="21" x14ac:dyDescent="0.35">
      <c r="A102" s="3"/>
      <c r="B102" s="310"/>
      <c r="C102" s="54" t="s">
        <v>295</v>
      </c>
      <c r="D102" s="144">
        <f>AVERAGE(D99:D101)</f>
        <v>62.129999999999995</v>
      </c>
      <c r="E102" s="144">
        <f>AVERAGE(E99:E101)</f>
        <v>38.14</v>
      </c>
      <c r="F102" s="157">
        <f>AVERAGE(F99:F101)</f>
        <v>83.326666666666668</v>
      </c>
      <c r="G102" s="311"/>
      <c r="H102" s="1"/>
      <c r="I102" s="1"/>
      <c r="J102" s="1"/>
      <c r="K102" s="1"/>
      <c r="L102" s="1"/>
      <c r="M102" s="1"/>
      <c r="N102" s="1"/>
    </row>
    <row r="103" spans="1:14" ht="21" x14ac:dyDescent="0.3">
      <c r="A103" s="3"/>
      <c r="B103" s="301"/>
      <c r="C103" s="302"/>
      <c r="D103" s="302"/>
      <c r="E103" s="302"/>
      <c r="F103" s="302"/>
      <c r="G103" s="303"/>
      <c r="H103" s="1"/>
      <c r="I103" s="1"/>
      <c r="J103" s="1"/>
      <c r="K103" s="1"/>
      <c r="L103" s="1"/>
      <c r="M103" s="1"/>
      <c r="N103" s="1"/>
    </row>
    <row r="104" spans="1:14" ht="21" x14ac:dyDescent="0.3">
      <c r="A104" s="2"/>
      <c r="B104" s="253" t="s">
        <v>82</v>
      </c>
      <c r="C104" s="270"/>
      <c r="D104" s="270"/>
      <c r="E104" s="270"/>
      <c r="F104" s="270"/>
      <c r="G104" s="254"/>
      <c r="H104" s="2"/>
      <c r="I104" s="2"/>
      <c r="J104" s="2"/>
      <c r="K104" s="2"/>
      <c r="L104" s="2"/>
      <c r="M104" s="2"/>
      <c r="N104" s="2"/>
    </row>
    <row r="105" spans="1:14" ht="21" x14ac:dyDescent="0.3">
      <c r="A105" s="3"/>
      <c r="B105" s="304" t="s">
        <v>561</v>
      </c>
      <c r="C105" s="242"/>
      <c r="D105" s="242"/>
      <c r="E105" s="242"/>
      <c r="F105" s="242"/>
      <c r="G105" s="305"/>
      <c r="H105" s="1"/>
      <c r="I105" s="1"/>
      <c r="J105" s="1"/>
      <c r="K105" s="1"/>
      <c r="L105" s="1"/>
      <c r="M105" s="1"/>
      <c r="N105" s="1"/>
    </row>
    <row r="106" spans="1:14" ht="21" x14ac:dyDescent="0.3">
      <c r="A106" s="3"/>
      <c r="B106" s="248"/>
      <c r="C106" s="248"/>
      <c r="D106" s="248"/>
      <c r="E106" s="55"/>
      <c r="F106" s="55"/>
      <c r="G106" s="55"/>
      <c r="H106" s="1"/>
      <c r="I106" s="1"/>
      <c r="J106" s="1"/>
      <c r="K106" s="1"/>
      <c r="L106" s="1"/>
      <c r="M106" s="1"/>
      <c r="N106" s="1"/>
    </row>
    <row r="107" spans="1:14" ht="21" x14ac:dyDescent="0.3">
      <c r="A107" s="1"/>
      <c r="B107" s="1"/>
      <c r="C107" s="306"/>
      <c r="D107" s="306"/>
      <c r="E107" s="306"/>
      <c r="F107" s="306"/>
      <c r="G107" s="306"/>
      <c r="H107" s="1"/>
      <c r="I107" s="1"/>
      <c r="J107" s="1"/>
      <c r="K107" s="1"/>
      <c r="L107" s="1"/>
      <c r="M107" s="1"/>
      <c r="N107" s="1"/>
    </row>
    <row r="108" spans="1:14" ht="21" x14ac:dyDescent="0.3">
      <c r="A108" s="3">
        <v>14</v>
      </c>
      <c r="B108" s="54" t="s">
        <v>63</v>
      </c>
      <c r="C108" s="307" t="s">
        <v>50</v>
      </c>
      <c r="D108" s="308"/>
      <c r="E108" s="308"/>
      <c r="F108" s="308"/>
      <c r="G108" s="249"/>
      <c r="H108" s="1"/>
      <c r="I108" s="1"/>
      <c r="J108" s="1"/>
      <c r="K108" s="1"/>
      <c r="L108" s="1"/>
      <c r="M108" s="1"/>
      <c r="N108" s="1"/>
    </row>
    <row r="109" spans="1:14" ht="21" x14ac:dyDescent="0.3">
      <c r="A109" s="1"/>
      <c r="B109" s="1"/>
      <c r="C109" s="55"/>
      <c r="D109" s="55"/>
      <c r="E109" s="55"/>
      <c r="F109" s="55"/>
      <c r="G109" s="55"/>
      <c r="H109" s="1"/>
      <c r="I109" s="1"/>
      <c r="J109" s="1"/>
      <c r="K109" s="1"/>
      <c r="L109" s="1"/>
      <c r="M109" s="1"/>
      <c r="N109" s="1"/>
    </row>
    <row r="110" spans="1:14" ht="21" x14ac:dyDescent="0.3">
      <c r="A110" s="1"/>
      <c r="B110" s="299" t="s">
        <v>521</v>
      </c>
      <c r="C110" s="299"/>
      <c r="D110" s="299"/>
      <c r="E110" s="299"/>
      <c r="F110" s="299"/>
      <c r="G110" s="299"/>
      <c r="H110" s="299"/>
      <c r="I110" s="1"/>
      <c r="J110" s="1"/>
      <c r="K110" s="1"/>
      <c r="L110" s="1"/>
      <c r="M110" s="1"/>
      <c r="N110" s="1"/>
    </row>
  </sheetData>
  <mergeCells count="66">
    <mergeCell ref="C107:G107"/>
    <mergeCell ref="C108:G108"/>
    <mergeCell ref="B110:H110"/>
    <mergeCell ref="B91:B96"/>
    <mergeCell ref="B97:B102"/>
    <mergeCell ref="B103:G103"/>
    <mergeCell ref="B104:G104"/>
    <mergeCell ref="B105:G105"/>
    <mergeCell ref="B106:D106"/>
    <mergeCell ref="B78:B84"/>
    <mergeCell ref="G78:G102"/>
    <mergeCell ref="B85:B90"/>
    <mergeCell ref="B70:N70"/>
    <mergeCell ref="B71:F71"/>
    <mergeCell ref="B72:F72"/>
    <mergeCell ref="B73:F73"/>
    <mergeCell ref="B75:G75"/>
    <mergeCell ref="B74:C74"/>
    <mergeCell ref="F66:H66"/>
    <mergeCell ref="I66:K66"/>
    <mergeCell ref="L66:N66"/>
    <mergeCell ref="L68:N69"/>
    <mergeCell ref="B58:E58"/>
    <mergeCell ref="C60:E60"/>
    <mergeCell ref="C61:E61"/>
    <mergeCell ref="C62:E62"/>
    <mergeCell ref="B66:B67"/>
    <mergeCell ref="C66:C67"/>
    <mergeCell ref="D66:D67"/>
    <mergeCell ref="E66:E67"/>
    <mergeCell ref="B59:E59"/>
    <mergeCell ref="C57:E57"/>
    <mergeCell ref="B41:E41"/>
    <mergeCell ref="C42:E42"/>
    <mergeCell ref="C43:E43"/>
    <mergeCell ref="C44:E44"/>
    <mergeCell ref="B45:E45"/>
    <mergeCell ref="B47:E47"/>
    <mergeCell ref="B50:E50"/>
    <mergeCell ref="B53:E53"/>
    <mergeCell ref="B54:B55"/>
    <mergeCell ref="C54:E55"/>
    <mergeCell ref="C56:E56"/>
    <mergeCell ref="B39:D39"/>
    <mergeCell ref="C21:E21"/>
    <mergeCell ref="C22:E22"/>
    <mergeCell ref="C23:E23"/>
    <mergeCell ref="C24:E24"/>
    <mergeCell ref="B26:E26"/>
    <mergeCell ref="B27:E27"/>
    <mergeCell ref="E29:E32"/>
    <mergeCell ref="B33:E33"/>
    <mergeCell ref="B35:E35"/>
    <mergeCell ref="B25:E25"/>
    <mergeCell ref="C20:E20"/>
    <mergeCell ref="A1:B1"/>
    <mergeCell ref="C3:E3"/>
    <mergeCell ref="C5:E5"/>
    <mergeCell ref="B6:D6"/>
    <mergeCell ref="B9:D9"/>
    <mergeCell ref="C11:E11"/>
    <mergeCell ref="B12:D12"/>
    <mergeCell ref="C14:E14"/>
    <mergeCell ref="B15:D15"/>
    <mergeCell ref="B17:C17"/>
    <mergeCell ref="B19:E19"/>
  </mergeCells>
  <pageMargins left="0.70866141732283472" right="0.70866141732283472" top="0.74803149606299213" bottom="0.74803149606299213" header="0.31496062992125984" footer="0.31496062992125984"/>
  <pageSetup scale="20" fitToWidth="70" fitToHeight="2"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62FB3-1A44-4BCD-87FC-E80EB5BBA043}">
  <dimension ref="A1:P101"/>
  <sheetViews>
    <sheetView view="pageBreakPreview" zoomScale="63" zoomScaleNormal="68" workbookViewId="0">
      <selection activeCell="D16" sqref="D16"/>
    </sheetView>
  </sheetViews>
  <sheetFormatPr defaultRowHeight="14.4" x14ac:dyDescent="0.3"/>
  <cols>
    <col min="1" max="1" width="9.109375"/>
    <col min="2" max="2" width="58.33203125" customWidth="1"/>
    <col min="3" max="3" width="76.44140625" customWidth="1"/>
    <col min="4" max="4" width="54.44140625" customWidth="1"/>
    <col min="5" max="5" width="27.6640625" customWidth="1"/>
    <col min="6" max="7" width="12" customWidth="1"/>
    <col min="8" max="8" width="22.6640625" customWidth="1"/>
    <col min="9" max="10" width="14.77734375" bestFit="1" customWidth="1"/>
    <col min="11" max="11" width="14.5546875" bestFit="1" customWidth="1"/>
    <col min="12" max="12" width="10.88671875" bestFit="1" customWidth="1"/>
    <col min="13" max="16" width="9.109375"/>
  </cols>
  <sheetData>
    <row r="1" spans="1:16" ht="21" x14ac:dyDescent="0.3">
      <c r="A1" s="246" t="s">
        <v>0</v>
      </c>
      <c r="B1" s="246"/>
      <c r="C1" s="1"/>
      <c r="D1" s="2"/>
      <c r="E1" s="1"/>
      <c r="F1" s="1"/>
      <c r="G1" s="1"/>
      <c r="H1" s="1"/>
      <c r="I1" s="1"/>
      <c r="J1" s="1"/>
      <c r="K1" s="1"/>
      <c r="L1" s="1"/>
      <c r="M1" s="1"/>
      <c r="N1" s="1"/>
      <c r="O1" s="1"/>
      <c r="P1" s="1"/>
    </row>
    <row r="2" spans="1:16" ht="21" x14ac:dyDescent="0.3">
      <c r="A2" s="1"/>
      <c r="B2" s="1"/>
      <c r="C2" s="1"/>
      <c r="D2" s="1"/>
      <c r="E2" s="1"/>
      <c r="F2" s="1"/>
      <c r="G2" s="1"/>
      <c r="H2" s="1"/>
      <c r="I2" s="1"/>
      <c r="J2" s="1"/>
      <c r="K2" s="1"/>
      <c r="L2" s="1"/>
      <c r="M2" s="1"/>
      <c r="N2" s="1"/>
      <c r="O2" s="1"/>
      <c r="P2" s="1"/>
    </row>
    <row r="3" spans="1:16" ht="40.799999999999997" x14ac:dyDescent="0.3">
      <c r="A3" s="3" t="s">
        <v>1</v>
      </c>
      <c r="B3" s="54" t="s">
        <v>2</v>
      </c>
      <c r="C3" s="300" t="s">
        <v>541</v>
      </c>
      <c r="D3" s="300"/>
      <c r="E3" s="300"/>
      <c r="F3" s="1"/>
      <c r="G3" s="1"/>
      <c r="H3" s="1"/>
      <c r="I3" s="1"/>
      <c r="J3" s="1"/>
      <c r="K3" s="1"/>
      <c r="L3" s="1"/>
      <c r="M3" s="1"/>
      <c r="N3" s="1"/>
      <c r="O3" s="1"/>
      <c r="P3" s="1"/>
    </row>
    <row r="4" spans="1:16" ht="21" x14ac:dyDescent="0.3">
      <c r="A4" s="1"/>
      <c r="B4" s="1"/>
      <c r="C4" s="1"/>
      <c r="D4" s="22"/>
      <c r="E4" s="1"/>
      <c r="F4" s="1"/>
      <c r="G4" s="1"/>
      <c r="H4" s="1"/>
      <c r="I4" s="1"/>
      <c r="J4" s="1"/>
      <c r="K4" s="1"/>
      <c r="L4" s="1"/>
      <c r="M4" s="1"/>
      <c r="N4" s="1"/>
      <c r="O4" s="1"/>
      <c r="P4" s="1"/>
    </row>
    <row r="5" spans="1:16" ht="21" x14ac:dyDescent="0.3">
      <c r="A5" s="62">
        <v>1</v>
      </c>
      <c r="B5" s="63" t="s">
        <v>3</v>
      </c>
      <c r="C5" s="247" t="s">
        <v>542</v>
      </c>
      <c r="D5" s="248"/>
      <c r="E5" s="249"/>
      <c r="F5" s="1"/>
      <c r="G5" s="1"/>
      <c r="H5" s="1"/>
      <c r="I5" s="1"/>
      <c r="J5" s="1"/>
      <c r="K5" s="1"/>
      <c r="L5" s="1"/>
      <c r="M5" s="1"/>
      <c r="N5" s="1"/>
      <c r="O5" s="1"/>
      <c r="P5" s="1"/>
    </row>
    <row r="6" spans="1:16" ht="21" x14ac:dyDescent="0.3">
      <c r="A6" s="3"/>
      <c r="B6" s="250" t="s">
        <v>4</v>
      </c>
      <c r="C6" s="251"/>
      <c r="D6" s="252"/>
      <c r="E6" s="10"/>
      <c r="F6" s="1"/>
      <c r="G6" s="1"/>
      <c r="H6" s="1"/>
      <c r="I6" s="1"/>
      <c r="J6" s="1"/>
      <c r="K6" s="1"/>
      <c r="L6" s="1"/>
      <c r="M6" s="1"/>
      <c r="N6" s="1"/>
      <c r="O6" s="1"/>
      <c r="P6" s="1"/>
    </row>
    <row r="7" spans="1:16" ht="21" x14ac:dyDescent="0.3">
      <c r="A7" s="3"/>
      <c r="B7" s="2"/>
      <c r="C7" s="1"/>
      <c r="D7" s="22"/>
      <c r="E7" s="1"/>
      <c r="F7" s="1"/>
      <c r="G7" s="1"/>
      <c r="H7" s="1"/>
      <c r="I7" s="1"/>
      <c r="J7" s="1"/>
      <c r="K7" s="1"/>
      <c r="L7" s="1"/>
      <c r="M7" s="1"/>
      <c r="N7" s="1"/>
      <c r="O7" s="1"/>
      <c r="P7" s="1"/>
    </row>
    <row r="8" spans="1:16" ht="21" x14ac:dyDescent="0.3">
      <c r="A8" s="3">
        <v>2</v>
      </c>
      <c r="B8" s="63" t="s">
        <v>5</v>
      </c>
      <c r="C8" s="12" t="s">
        <v>543</v>
      </c>
      <c r="D8" s="22"/>
      <c r="E8" s="1"/>
      <c r="F8" s="1"/>
      <c r="G8" s="1"/>
      <c r="H8" s="1"/>
      <c r="I8" s="1"/>
      <c r="J8" s="1"/>
      <c r="K8" s="1"/>
      <c r="L8" s="1"/>
      <c r="M8" s="1"/>
      <c r="N8" s="1"/>
      <c r="O8" s="1"/>
      <c r="P8" s="1"/>
    </row>
    <row r="9" spans="1:16" ht="21" x14ac:dyDescent="0.3">
      <c r="A9" s="3"/>
      <c r="B9" s="250" t="s">
        <v>4</v>
      </c>
      <c r="C9" s="251"/>
      <c r="D9" s="252"/>
      <c r="E9" s="1"/>
      <c r="F9" s="1"/>
      <c r="G9" s="1"/>
      <c r="H9" s="1"/>
      <c r="I9" s="1"/>
      <c r="J9" s="1"/>
      <c r="K9" s="1"/>
      <c r="L9" s="1"/>
      <c r="M9" s="1"/>
      <c r="N9" s="1"/>
      <c r="O9" s="1"/>
      <c r="P9" s="1"/>
    </row>
    <row r="10" spans="1:16" ht="21" x14ac:dyDescent="0.3">
      <c r="A10" s="3"/>
      <c r="B10" s="2"/>
      <c r="C10" s="1"/>
      <c r="D10" s="22"/>
      <c r="E10" s="1"/>
      <c r="F10" s="1"/>
      <c r="G10" s="1"/>
      <c r="H10" s="1"/>
      <c r="I10" s="1"/>
      <c r="J10" s="1"/>
      <c r="K10" s="1"/>
      <c r="L10" s="1"/>
      <c r="M10" s="1"/>
      <c r="N10" s="1"/>
      <c r="O10" s="1"/>
      <c r="P10" s="1"/>
    </row>
    <row r="11" spans="1:16" ht="40.799999999999997" x14ac:dyDescent="0.3">
      <c r="A11" s="3">
        <v>3</v>
      </c>
      <c r="B11" s="63" t="s">
        <v>6</v>
      </c>
      <c r="C11" s="247" t="s">
        <v>90</v>
      </c>
      <c r="D11" s="248"/>
      <c r="E11" s="249"/>
      <c r="F11" s="1"/>
      <c r="G11" s="1"/>
      <c r="H11" s="1"/>
      <c r="I11" s="1"/>
      <c r="J11" s="1"/>
      <c r="K11" s="1"/>
      <c r="L11" s="1"/>
      <c r="M11" s="1"/>
      <c r="N11" s="1"/>
      <c r="O11" s="1"/>
      <c r="P11" s="1"/>
    </row>
    <row r="12" spans="1:16" ht="21" x14ac:dyDescent="0.3">
      <c r="A12" s="3"/>
      <c r="B12" s="250" t="s">
        <v>4</v>
      </c>
      <c r="C12" s="251"/>
      <c r="D12" s="252"/>
      <c r="E12" s="10"/>
      <c r="F12" s="1"/>
      <c r="G12" s="1"/>
      <c r="H12" s="1"/>
      <c r="I12" s="1"/>
      <c r="J12" s="1"/>
      <c r="K12" s="1"/>
      <c r="L12" s="1"/>
      <c r="M12" s="1"/>
      <c r="N12" s="1"/>
      <c r="O12" s="1"/>
      <c r="P12" s="1"/>
    </row>
    <row r="13" spans="1:16" ht="21" x14ac:dyDescent="0.3">
      <c r="A13" s="3"/>
      <c r="B13" s="2"/>
      <c r="C13" s="1"/>
      <c r="D13" s="22"/>
      <c r="E13" s="1"/>
      <c r="F13" s="1"/>
      <c r="G13" s="1"/>
      <c r="H13" s="1"/>
      <c r="I13" s="1"/>
      <c r="J13" s="1"/>
      <c r="K13" s="1"/>
      <c r="L13" s="1"/>
      <c r="M13" s="1"/>
      <c r="N13" s="1"/>
      <c r="O13" s="1"/>
      <c r="P13" s="1"/>
    </row>
    <row r="14" spans="1:16" ht="21" x14ac:dyDescent="0.3">
      <c r="A14" s="3">
        <v>4</v>
      </c>
      <c r="B14" s="54" t="s">
        <v>92</v>
      </c>
      <c r="C14" s="247" t="s">
        <v>90</v>
      </c>
      <c r="D14" s="248"/>
      <c r="E14" s="249"/>
      <c r="F14" s="1"/>
      <c r="G14" s="1"/>
      <c r="H14" s="1"/>
      <c r="I14" s="1"/>
      <c r="J14" s="1"/>
      <c r="K14" s="1"/>
      <c r="L14" s="1"/>
      <c r="M14" s="1"/>
      <c r="N14" s="1"/>
      <c r="O14" s="1"/>
      <c r="P14" s="1"/>
    </row>
    <row r="15" spans="1:16" ht="21" x14ac:dyDescent="0.3">
      <c r="A15" s="3"/>
      <c r="B15" s="250" t="s">
        <v>4</v>
      </c>
      <c r="C15" s="251"/>
      <c r="D15" s="252"/>
      <c r="E15" s="1"/>
      <c r="F15" s="1"/>
      <c r="G15" s="1"/>
      <c r="H15" s="1"/>
      <c r="I15" s="1"/>
      <c r="J15" s="1"/>
      <c r="K15" s="1"/>
      <c r="L15" s="1"/>
      <c r="M15" s="1"/>
      <c r="N15" s="1"/>
      <c r="O15" s="1"/>
      <c r="P15" s="1"/>
    </row>
    <row r="16" spans="1:16" ht="21" x14ac:dyDescent="0.3">
      <c r="A16" s="3">
        <v>4</v>
      </c>
      <c r="B16" s="54" t="s">
        <v>7</v>
      </c>
      <c r="C16" s="5" t="s">
        <v>581</v>
      </c>
      <c r="D16" s="22"/>
      <c r="E16" s="1"/>
      <c r="F16" s="1"/>
      <c r="G16" s="1"/>
      <c r="H16" s="1"/>
      <c r="I16" s="1"/>
      <c r="J16" s="1"/>
      <c r="K16" s="1"/>
      <c r="L16" s="1"/>
      <c r="M16" s="1"/>
      <c r="N16" s="1"/>
      <c r="O16" s="1"/>
      <c r="P16" s="1"/>
    </row>
    <row r="17" spans="1:16" ht="21" x14ac:dyDescent="0.3">
      <c r="A17" s="3"/>
      <c r="B17" s="253" t="s">
        <v>8</v>
      </c>
      <c r="C17" s="254"/>
      <c r="D17" s="22"/>
      <c r="E17" s="1"/>
      <c r="F17" s="1"/>
      <c r="G17" s="1"/>
      <c r="H17" s="1"/>
      <c r="I17" s="1"/>
      <c r="J17" s="1"/>
      <c r="K17" s="1"/>
      <c r="L17" s="1"/>
      <c r="M17" s="1"/>
      <c r="N17" s="1"/>
      <c r="O17" s="1"/>
      <c r="P17" s="1"/>
    </row>
    <row r="18" spans="1:16" ht="21" x14ac:dyDescent="0.3">
      <c r="A18" s="3"/>
      <c r="B18" s="1"/>
      <c r="C18" s="1"/>
      <c r="D18" s="22"/>
      <c r="E18" s="1"/>
      <c r="F18" s="1"/>
      <c r="G18" s="1"/>
      <c r="H18" s="1"/>
      <c r="I18" s="1"/>
      <c r="J18" s="1"/>
      <c r="K18" s="1"/>
      <c r="L18" s="1"/>
      <c r="M18" s="1"/>
      <c r="N18" s="1"/>
      <c r="O18" s="1"/>
      <c r="P18" s="1"/>
    </row>
    <row r="19" spans="1:16" ht="21" x14ac:dyDescent="0.3">
      <c r="A19" s="3">
        <v>5</v>
      </c>
      <c r="B19" s="255" t="s">
        <v>9</v>
      </c>
      <c r="C19" s="256"/>
      <c r="D19" s="256"/>
      <c r="E19" s="257"/>
      <c r="F19" s="2"/>
      <c r="G19" s="2"/>
      <c r="H19" s="2"/>
      <c r="I19" s="2"/>
      <c r="J19" s="10"/>
      <c r="K19" s="10"/>
      <c r="L19" s="10"/>
      <c r="M19" s="10"/>
      <c r="N19" s="10"/>
      <c r="O19" s="1"/>
      <c r="P19" s="1"/>
    </row>
    <row r="20" spans="1:16" ht="21" x14ac:dyDescent="0.3">
      <c r="A20" s="3"/>
      <c r="B20" s="65" t="s">
        <v>10</v>
      </c>
      <c r="C20" s="243">
        <v>1.5E-3</v>
      </c>
      <c r="D20" s="244"/>
      <c r="E20" s="245"/>
      <c r="F20" s="66"/>
      <c r="G20" s="10"/>
      <c r="H20" s="10"/>
      <c r="I20" s="10"/>
      <c r="J20" s="10"/>
      <c r="K20" s="10"/>
      <c r="L20" s="10"/>
      <c r="M20" s="10"/>
      <c r="N20" s="10"/>
      <c r="O20" s="1"/>
      <c r="P20" s="1"/>
    </row>
    <row r="21" spans="1:16" ht="61.2" x14ac:dyDescent="0.3">
      <c r="A21" s="3"/>
      <c r="B21" s="65" t="s">
        <v>511</v>
      </c>
      <c r="C21" s="243" t="s">
        <v>11</v>
      </c>
      <c r="D21" s="244"/>
      <c r="E21" s="245"/>
      <c r="F21" s="66"/>
      <c r="G21" s="10"/>
      <c r="H21" s="1"/>
      <c r="I21" s="10"/>
      <c r="J21" s="10"/>
      <c r="K21" s="10"/>
      <c r="L21" s="10"/>
      <c r="M21" s="10"/>
      <c r="N21" s="10"/>
      <c r="O21" s="1"/>
      <c r="P21" s="1"/>
    </row>
    <row r="22" spans="1:16" ht="21" x14ac:dyDescent="0.3">
      <c r="A22" s="3"/>
      <c r="B22" s="65" t="s">
        <v>474</v>
      </c>
      <c r="C22" s="243">
        <v>3.5000000000000001E-3</v>
      </c>
      <c r="D22" s="439"/>
      <c r="E22" s="440"/>
      <c r="F22" s="66"/>
      <c r="G22" s="10"/>
      <c r="H22" s="10"/>
      <c r="I22" s="10"/>
      <c r="J22" s="10"/>
      <c r="K22" s="10"/>
      <c r="L22" s="10"/>
      <c r="M22" s="10"/>
      <c r="N22" s="10"/>
      <c r="O22" s="1"/>
      <c r="P22" s="1"/>
    </row>
    <row r="23" spans="1:16" ht="21" x14ac:dyDescent="0.3">
      <c r="A23" s="3"/>
      <c r="B23" s="64" t="s">
        <v>475</v>
      </c>
      <c r="C23" s="473">
        <v>3.0999999999999999E-3</v>
      </c>
      <c r="D23" s="402"/>
      <c r="E23" s="474"/>
      <c r="F23" s="66"/>
      <c r="G23" s="10"/>
      <c r="H23" s="10"/>
      <c r="I23" s="10"/>
      <c r="J23" s="10"/>
      <c r="K23" s="10"/>
      <c r="L23" s="10"/>
      <c r="M23" s="10"/>
      <c r="N23" s="10"/>
      <c r="O23" s="1"/>
      <c r="P23" s="1"/>
    </row>
    <row r="24" spans="1:16" ht="21" x14ac:dyDescent="0.3">
      <c r="A24" s="3"/>
      <c r="B24" s="67" t="s">
        <v>476</v>
      </c>
      <c r="C24" s="401" t="s">
        <v>15</v>
      </c>
      <c r="D24" s="401"/>
      <c r="E24" s="401"/>
      <c r="F24" s="66"/>
      <c r="G24" s="10"/>
      <c r="H24" s="10"/>
      <c r="I24" s="10"/>
      <c r="J24" s="10"/>
      <c r="K24" s="10"/>
      <c r="L24" s="10"/>
      <c r="M24" s="10"/>
      <c r="N24" s="10"/>
      <c r="O24" s="1"/>
      <c r="P24" s="1"/>
    </row>
    <row r="25" spans="1:16" ht="21" x14ac:dyDescent="0.3">
      <c r="A25" s="3"/>
      <c r="B25" s="66" t="s">
        <v>347</v>
      </c>
      <c r="C25" s="66"/>
      <c r="D25" s="66"/>
      <c r="E25" s="66"/>
      <c r="F25" s="66"/>
      <c r="G25" s="10"/>
      <c r="H25" s="10"/>
      <c r="I25" s="10"/>
      <c r="J25" s="10"/>
      <c r="K25" s="10"/>
      <c r="L25" s="10"/>
      <c r="M25" s="10"/>
      <c r="N25" s="10"/>
      <c r="O25" s="1"/>
      <c r="P25" s="1"/>
    </row>
    <row r="26" spans="1:16" ht="21" x14ac:dyDescent="0.3">
      <c r="A26" s="3">
        <v>6</v>
      </c>
      <c r="B26" s="261" t="s">
        <v>74</v>
      </c>
      <c r="C26" s="262"/>
      <c r="D26" s="262"/>
      <c r="E26" s="263"/>
      <c r="F26" s="2"/>
      <c r="G26" s="2"/>
      <c r="H26" s="10"/>
      <c r="I26" s="2"/>
      <c r="J26" s="2"/>
      <c r="K26" s="1"/>
      <c r="L26" s="1"/>
      <c r="M26" s="1"/>
      <c r="N26" s="1"/>
      <c r="O26" s="1"/>
      <c r="P26" s="1"/>
    </row>
    <row r="27" spans="1:16" ht="21" x14ac:dyDescent="0.3">
      <c r="A27" s="3"/>
      <c r="B27" s="264" t="s">
        <v>17</v>
      </c>
      <c r="C27" s="265"/>
      <c r="D27" s="265"/>
      <c r="E27" s="266"/>
      <c r="F27" s="66"/>
      <c r="G27" s="1"/>
      <c r="H27" s="1"/>
      <c r="I27" s="1"/>
      <c r="J27" s="1"/>
      <c r="K27" s="1"/>
      <c r="L27" s="1"/>
      <c r="M27" s="1"/>
      <c r="N27" s="1"/>
      <c r="O27" s="1"/>
      <c r="P27" s="1"/>
    </row>
    <row r="28" spans="1:16" ht="21" x14ac:dyDescent="0.3">
      <c r="A28" s="3"/>
      <c r="B28" s="67" t="s">
        <v>18</v>
      </c>
      <c r="C28" s="25" t="s">
        <v>477</v>
      </c>
      <c r="D28" s="25" t="s">
        <v>478</v>
      </c>
      <c r="E28" s="25" t="s">
        <v>479</v>
      </c>
      <c r="F28" s="66"/>
      <c r="G28" s="1"/>
      <c r="H28" s="1"/>
      <c r="I28" s="1"/>
      <c r="J28" s="1"/>
      <c r="K28" s="1"/>
      <c r="L28" s="1"/>
      <c r="M28" s="1"/>
      <c r="N28" s="1"/>
      <c r="O28" s="1"/>
      <c r="P28" s="1"/>
    </row>
    <row r="29" spans="1:16" ht="21" x14ac:dyDescent="0.3">
      <c r="A29" s="3"/>
      <c r="B29" s="68" t="s">
        <v>21</v>
      </c>
      <c r="C29" s="27">
        <v>2161.64</v>
      </c>
      <c r="D29" s="50">
        <v>3026.6</v>
      </c>
      <c r="E29" s="267" t="s">
        <v>22</v>
      </c>
      <c r="F29" s="66"/>
      <c r="G29" s="1"/>
      <c r="H29" s="1"/>
      <c r="I29" s="1"/>
      <c r="J29" s="1"/>
      <c r="K29" s="1"/>
      <c r="L29" s="1"/>
      <c r="M29" s="1"/>
      <c r="N29" s="1"/>
      <c r="O29" s="1"/>
      <c r="P29" s="1"/>
    </row>
    <row r="30" spans="1:16" ht="21" x14ac:dyDescent="0.3">
      <c r="A30" s="3"/>
      <c r="B30" s="68" t="s">
        <v>23</v>
      </c>
      <c r="C30" s="27">
        <v>108.33</v>
      </c>
      <c r="D30" s="27">
        <v>154.74</v>
      </c>
      <c r="E30" s="268"/>
      <c r="F30" s="66"/>
      <c r="G30" s="1"/>
      <c r="H30" s="1"/>
      <c r="I30" s="1"/>
      <c r="J30" s="1"/>
      <c r="K30" s="1"/>
      <c r="L30" s="1"/>
      <c r="M30" s="1"/>
      <c r="N30" s="1"/>
      <c r="O30" s="1"/>
      <c r="P30" s="1"/>
    </row>
    <row r="31" spans="1:16" ht="21" x14ac:dyDescent="0.3">
      <c r="A31" s="3"/>
      <c r="B31" s="68" t="s">
        <v>24</v>
      </c>
      <c r="C31" s="27">
        <v>316.04000000000002</v>
      </c>
      <c r="D31" s="27">
        <v>355.88</v>
      </c>
      <c r="E31" s="268"/>
      <c r="F31" s="66"/>
      <c r="G31" s="1"/>
      <c r="H31" s="57"/>
      <c r="I31" s="1"/>
      <c r="J31" s="1"/>
      <c r="K31" s="1"/>
      <c r="L31" s="1"/>
      <c r="M31" s="1"/>
      <c r="N31" s="1"/>
      <c r="O31" s="1"/>
      <c r="P31" s="1"/>
    </row>
    <row r="32" spans="1:16" ht="21" x14ac:dyDescent="0.3">
      <c r="A32" s="3"/>
      <c r="B32" s="68" t="s">
        <v>25</v>
      </c>
      <c r="C32" s="27">
        <v>598.76</v>
      </c>
      <c r="D32" s="27">
        <v>922.64</v>
      </c>
      <c r="E32" s="269"/>
      <c r="F32" s="66"/>
      <c r="G32" s="1"/>
      <c r="H32" s="1"/>
      <c r="I32" s="1"/>
      <c r="J32" s="1"/>
      <c r="K32" s="1"/>
      <c r="L32" s="1"/>
      <c r="M32" s="1"/>
      <c r="N32" s="1"/>
      <c r="O32" s="1"/>
      <c r="P32" s="1"/>
    </row>
    <row r="33" spans="1:16" ht="21" x14ac:dyDescent="0.3">
      <c r="A33" s="3"/>
      <c r="B33" s="253" t="s">
        <v>193</v>
      </c>
      <c r="C33" s="270"/>
      <c r="D33" s="270"/>
      <c r="E33" s="254"/>
      <c r="F33" s="66"/>
      <c r="G33" s="1"/>
      <c r="H33" s="1"/>
      <c r="I33" s="1"/>
      <c r="J33" s="1"/>
      <c r="K33" s="1"/>
      <c r="L33" s="1"/>
      <c r="M33" s="1"/>
      <c r="N33" s="1"/>
      <c r="O33" s="1"/>
      <c r="P33" s="1"/>
    </row>
    <row r="34" spans="1:16" ht="21" x14ac:dyDescent="0.3">
      <c r="A34" s="3"/>
      <c r="B34" s="10"/>
      <c r="C34" s="66"/>
      <c r="D34" s="66"/>
      <c r="E34" s="66"/>
      <c r="F34" s="66"/>
      <c r="G34" s="1"/>
      <c r="H34" s="1"/>
      <c r="I34" s="1"/>
      <c r="J34" s="1"/>
      <c r="K34" s="1"/>
      <c r="L34" s="1"/>
      <c r="M34" s="1"/>
      <c r="N34" s="1"/>
      <c r="O34" s="1"/>
      <c r="P34" s="1"/>
    </row>
    <row r="35" spans="1:16" ht="21" x14ac:dyDescent="0.3">
      <c r="A35" s="3">
        <v>7</v>
      </c>
      <c r="B35" s="261" t="s">
        <v>26</v>
      </c>
      <c r="C35" s="262"/>
      <c r="D35" s="262"/>
      <c r="E35" s="263"/>
      <c r="F35" s="2"/>
      <c r="G35" s="2"/>
      <c r="H35" s="2"/>
      <c r="I35" s="2"/>
      <c r="J35" s="2"/>
      <c r="K35" s="1"/>
      <c r="L35" s="1"/>
      <c r="M35" s="1"/>
      <c r="N35" s="1"/>
      <c r="O35" s="1"/>
      <c r="P35" s="1"/>
    </row>
    <row r="36" spans="1:16" ht="21" x14ac:dyDescent="0.3">
      <c r="A36" s="3"/>
      <c r="B36" s="67" t="s">
        <v>247</v>
      </c>
      <c r="C36" s="27" t="s">
        <v>93</v>
      </c>
      <c r="D36" s="5"/>
      <c r="E36" s="5"/>
      <c r="F36" s="10"/>
      <c r="G36" s="1"/>
      <c r="H36" s="1"/>
      <c r="I36" s="1"/>
      <c r="J36" s="1"/>
      <c r="K36" s="1"/>
      <c r="L36" s="1"/>
      <c r="M36" s="1"/>
      <c r="N36" s="1"/>
      <c r="O36" s="1"/>
      <c r="P36" s="1"/>
    </row>
    <row r="37" spans="1:16" ht="21" x14ac:dyDescent="0.3">
      <c r="A37" s="3"/>
      <c r="B37" s="67" t="s">
        <v>28</v>
      </c>
      <c r="C37" s="27" t="s">
        <v>93</v>
      </c>
      <c r="D37" s="10"/>
      <c r="E37" s="10"/>
      <c r="F37" s="10"/>
      <c r="G37" s="1"/>
      <c r="H37" s="1"/>
      <c r="I37" s="1"/>
      <c r="J37" s="1"/>
      <c r="K37" s="1"/>
      <c r="L37" s="1"/>
      <c r="M37" s="1"/>
      <c r="N37" s="1"/>
      <c r="O37" s="1"/>
      <c r="P37" s="1"/>
    </row>
    <row r="38" spans="1:16" ht="21" x14ac:dyDescent="0.3">
      <c r="A38" s="3"/>
      <c r="B38" s="67" t="s">
        <v>29</v>
      </c>
      <c r="C38" s="27" t="s">
        <v>15</v>
      </c>
      <c r="D38" s="10"/>
      <c r="E38" s="10"/>
      <c r="F38" s="10"/>
      <c r="G38" s="1"/>
      <c r="H38" s="1"/>
      <c r="I38" s="1"/>
      <c r="J38" s="1"/>
      <c r="K38" s="1"/>
      <c r="L38" s="1"/>
      <c r="M38" s="1"/>
      <c r="N38" s="1"/>
      <c r="O38" s="1"/>
      <c r="P38" s="1"/>
    </row>
    <row r="39" spans="1:16" ht="21" x14ac:dyDescent="0.3">
      <c r="A39" s="3"/>
      <c r="B39" s="271" t="s">
        <v>558</v>
      </c>
      <c r="C39" s="271"/>
      <c r="D39" s="271"/>
      <c r="E39" s="10"/>
      <c r="F39" s="10"/>
      <c r="G39" s="1"/>
      <c r="H39" s="1"/>
      <c r="I39" s="1"/>
      <c r="J39" s="1"/>
      <c r="K39" s="1"/>
      <c r="L39" s="1"/>
      <c r="M39" s="1"/>
      <c r="N39" s="1"/>
      <c r="O39" s="1"/>
      <c r="P39" s="1"/>
    </row>
    <row r="40" spans="1:16" ht="21" x14ac:dyDescent="0.3">
      <c r="A40" s="3"/>
      <c r="B40" s="66"/>
      <c r="C40" s="10"/>
      <c r="D40" s="10"/>
      <c r="E40" s="10"/>
      <c r="F40" s="10"/>
      <c r="G40" s="1"/>
      <c r="H40" s="1"/>
      <c r="I40" s="1"/>
      <c r="J40" s="1"/>
      <c r="K40" s="1"/>
      <c r="L40" s="1"/>
      <c r="M40" s="1"/>
      <c r="N40" s="1"/>
      <c r="O40" s="1"/>
      <c r="P40" s="1"/>
    </row>
    <row r="41" spans="1:16" ht="21" x14ac:dyDescent="0.3">
      <c r="A41" s="3">
        <v>8</v>
      </c>
      <c r="B41" s="261" t="s">
        <v>30</v>
      </c>
      <c r="C41" s="262"/>
      <c r="D41" s="262"/>
      <c r="E41" s="263"/>
      <c r="F41" s="2"/>
      <c r="G41" s="2"/>
      <c r="H41" s="2"/>
      <c r="I41" s="2"/>
      <c r="J41" s="2"/>
      <c r="K41" s="1"/>
      <c r="L41" s="1"/>
      <c r="M41" s="1"/>
      <c r="N41" s="1"/>
      <c r="O41" s="1"/>
      <c r="P41" s="1"/>
    </row>
    <row r="42" spans="1:16" ht="21" x14ac:dyDescent="0.3">
      <c r="A42" s="3"/>
      <c r="B42" s="67" t="s">
        <v>31</v>
      </c>
      <c r="C42" s="258" t="s">
        <v>11</v>
      </c>
      <c r="D42" s="259"/>
      <c r="E42" s="260"/>
      <c r="F42" s="10"/>
      <c r="G42" s="1"/>
      <c r="H42" s="1"/>
      <c r="I42" s="1"/>
      <c r="J42" s="1"/>
      <c r="K42" s="1"/>
      <c r="L42" s="1"/>
      <c r="M42" s="1"/>
      <c r="N42" s="1"/>
      <c r="O42" s="1"/>
      <c r="P42" s="1"/>
    </row>
    <row r="43" spans="1:16" ht="21" x14ac:dyDescent="0.3">
      <c r="A43" s="3"/>
      <c r="B43" s="67" t="s">
        <v>28</v>
      </c>
      <c r="C43" s="307" t="s">
        <v>983</v>
      </c>
      <c r="D43" s="308"/>
      <c r="E43" s="249"/>
      <c r="F43" s="10"/>
      <c r="G43" s="1"/>
      <c r="H43" s="1"/>
      <c r="I43" s="1"/>
      <c r="J43" s="1"/>
      <c r="K43" s="1"/>
      <c r="L43" s="1"/>
      <c r="M43" s="1"/>
      <c r="N43" s="1"/>
      <c r="O43" s="1"/>
      <c r="P43" s="1"/>
    </row>
    <row r="44" spans="1:16" ht="21" x14ac:dyDescent="0.3">
      <c r="A44" s="3"/>
      <c r="B44" s="67" t="s">
        <v>29</v>
      </c>
      <c r="C44" s="258" t="s">
        <v>15</v>
      </c>
      <c r="D44" s="259"/>
      <c r="E44" s="260"/>
      <c r="F44" s="10"/>
      <c r="G44" s="1"/>
      <c r="H44" s="1"/>
      <c r="I44" s="1"/>
      <c r="J44" s="1"/>
      <c r="K44" s="1"/>
      <c r="L44" s="1"/>
      <c r="M44" s="1"/>
      <c r="N44" s="1"/>
      <c r="O44" s="1"/>
      <c r="P44" s="1"/>
    </row>
    <row r="45" spans="1:16" ht="21" x14ac:dyDescent="0.3">
      <c r="A45" s="3"/>
      <c r="B45" s="253" t="s">
        <v>192</v>
      </c>
      <c r="C45" s="270"/>
      <c r="D45" s="270"/>
      <c r="E45" s="254"/>
      <c r="F45" s="10"/>
      <c r="G45" s="1"/>
      <c r="H45" s="1"/>
      <c r="I45" s="1"/>
      <c r="J45" s="1"/>
      <c r="K45" s="1"/>
      <c r="L45" s="1"/>
      <c r="M45" s="1"/>
      <c r="N45" s="1"/>
      <c r="O45" s="1"/>
      <c r="P45" s="1"/>
    </row>
    <row r="46" spans="1:16" ht="21" x14ac:dyDescent="0.3">
      <c r="A46" s="3"/>
      <c r="B46" s="1"/>
      <c r="C46" s="1"/>
      <c r="D46" s="22"/>
      <c r="E46" s="10"/>
      <c r="F46" s="1"/>
      <c r="G46" s="1"/>
      <c r="H46" s="1"/>
      <c r="I46" s="1"/>
      <c r="J46" s="1"/>
      <c r="K46" s="1"/>
      <c r="L46" s="1"/>
      <c r="M46" s="1"/>
      <c r="N46" s="1"/>
      <c r="O46" s="1"/>
      <c r="P46" s="1"/>
    </row>
    <row r="47" spans="1:16" ht="21" x14ac:dyDescent="0.3">
      <c r="A47" s="191">
        <v>9</v>
      </c>
      <c r="B47" s="262" t="s">
        <v>32</v>
      </c>
      <c r="C47" s="262"/>
      <c r="D47" s="262"/>
      <c r="E47" s="263"/>
      <c r="F47" s="2"/>
      <c r="G47" s="2"/>
      <c r="H47" s="2"/>
      <c r="I47" s="2"/>
      <c r="J47" s="1"/>
      <c r="K47" s="1"/>
      <c r="L47" s="1"/>
      <c r="M47" s="1"/>
      <c r="N47" s="1"/>
      <c r="O47" s="1"/>
      <c r="P47" s="1"/>
    </row>
    <row r="48" spans="1:16" ht="81.599999999999994" x14ac:dyDescent="0.3">
      <c r="A48" s="191"/>
      <c r="B48" s="24" t="s">
        <v>33</v>
      </c>
      <c r="C48" s="25" t="s">
        <v>34</v>
      </c>
      <c r="D48" s="25" t="s">
        <v>96</v>
      </c>
      <c r="E48" s="25" t="s">
        <v>35</v>
      </c>
      <c r="F48" s="1"/>
      <c r="G48" s="1"/>
      <c r="H48" s="1"/>
      <c r="I48" s="1"/>
      <c r="J48" s="1"/>
      <c r="K48" s="1"/>
      <c r="L48" s="1"/>
      <c r="M48" s="1"/>
      <c r="N48" s="1"/>
      <c r="O48" s="1"/>
      <c r="P48" s="1"/>
    </row>
    <row r="49" spans="1:16" ht="147" x14ac:dyDescent="0.3">
      <c r="A49" s="191"/>
      <c r="B49" s="189" t="s">
        <v>544</v>
      </c>
      <c r="C49" s="27" t="s">
        <v>633</v>
      </c>
      <c r="D49" s="475" t="s">
        <v>984</v>
      </c>
      <c r="E49" s="27" t="s">
        <v>121</v>
      </c>
      <c r="F49" s="1"/>
      <c r="G49" s="1"/>
      <c r="H49" s="1"/>
      <c r="I49" s="1"/>
      <c r="J49" s="1"/>
      <c r="K49" s="1"/>
      <c r="L49" s="1"/>
      <c r="M49" s="1"/>
      <c r="N49" s="1"/>
      <c r="O49" s="1"/>
      <c r="P49" s="1"/>
    </row>
    <row r="50" spans="1:16" ht="56.4" customHeight="1" x14ac:dyDescent="0.3">
      <c r="A50" s="191"/>
      <c r="B50" s="270" t="s">
        <v>997</v>
      </c>
      <c r="C50" s="270"/>
      <c r="D50" s="270"/>
      <c r="E50" s="254"/>
      <c r="F50" s="1"/>
      <c r="G50" s="1"/>
      <c r="H50" s="1"/>
      <c r="I50" s="1"/>
      <c r="J50" s="1"/>
      <c r="K50" s="1"/>
      <c r="L50" s="1"/>
      <c r="M50" s="1"/>
      <c r="N50" s="1"/>
      <c r="O50" s="1"/>
      <c r="P50" s="1"/>
    </row>
    <row r="51" spans="1:16" ht="21" x14ac:dyDescent="0.3">
      <c r="A51" s="191"/>
      <c r="B51" s="103" t="s">
        <v>985</v>
      </c>
      <c r="C51" s="87"/>
      <c r="D51" s="87"/>
      <c r="E51" s="87"/>
      <c r="F51" s="1"/>
      <c r="G51" s="1"/>
      <c r="H51" s="1"/>
      <c r="I51" s="1"/>
      <c r="J51" s="1"/>
      <c r="K51" s="1"/>
      <c r="L51" s="1"/>
      <c r="M51" s="1"/>
      <c r="N51" s="1"/>
      <c r="O51" s="1"/>
      <c r="P51" s="1"/>
    </row>
    <row r="52" spans="1:16" ht="21" x14ac:dyDescent="0.3">
      <c r="A52" s="191"/>
      <c r="B52" s="28"/>
      <c r="C52" s="22"/>
      <c r="D52" s="22"/>
      <c r="E52" s="22"/>
      <c r="F52" s="66"/>
      <c r="G52" s="66"/>
      <c r="H52" s="66"/>
      <c r="I52" s="66"/>
      <c r="J52" s="1"/>
      <c r="K52" s="1"/>
      <c r="L52" s="1"/>
      <c r="M52" s="1"/>
      <c r="N52" s="1"/>
      <c r="O52" s="1"/>
      <c r="P52" s="1"/>
    </row>
    <row r="53" spans="1:16" ht="21" x14ac:dyDescent="0.3">
      <c r="A53" s="191">
        <v>10</v>
      </c>
      <c r="B53" s="262" t="s">
        <v>32</v>
      </c>
      <c r="C53" s="262"/>
      <c r="D53" s="262"/>
      <c r="E53" s="263"/>
      <c r="F53" s="66"/>
      <c r="G53" s="66"/>
      <c r="H53" s="66"/>
      <c r="I53" s="1"/>
      <c r="J53" s="1"/>
      <c r="K53" s="1"/>
      <c r="L53" s="1"/>
      <c r="M53" s="1"/>
      <c r="N53" s="1"/>
      <c r="O53" s="1"/>
      <c r="P53" s="1"/>
    </row>
    <row r="54" spans="1:16" ht="21" x14ac:dyDescent="0.3">
      <c r="A54" s="191"/>
      <c r="B54" s="275" t="s">
        <v>36</v>
      </c>
      <c r="C54" s="277" t="s">
        <v>986</v>
      </c>
      <c r="D54" s="278"/>
      <c r="E54" s="279"/>
      <c r="F54" s="1"/>
      <c r="G54" s="1"/>
      <c r="H54" s="1"/>
      <c r="I54" s="1"/>
      <c r="J54" s="1"/>
      <c r="K54" s="2"/>
      <c r="L54" s="1"/>
      <c r="M54" s="1"/>
      <c r="N54" s="1"/>
      <c r="O54" s="1"/>
      <c r="P54" s="1"/>
    </row>
    <row r="55" spans="1:16" ht="21" x14ac:dyDescent="0.3">
      <c r="A55" s="191"/>
      <c r="B55" s="276"/>
      <c r="C55" s="280"/>
      <c r="D55" s="281"/>
      <c r="E55" s="282"/>
      <c r="F55" s="1"/>
      <c r="G55" s="1"/>
      <c r="H55" s="1"/>
      <c r="I55" s="1"/>
      <c r="J55" s="1"/>
      <c r="K55" s="2"/>
      <c r="L55" s="1"/>
      <c r="M55" s="1"/>
      <c r="N55" s="1"/>
      <c r="O55" s="1"/>
      <c r="P55" s="1"/>
    </row>
    <row r="56" spans="1:16" ht="21" x14ac:dyDescent="0.3">
      <c r="A56" s="191"/>
      <c r="B56" s="29" t="s">
        <v>37</v>
      </c>
      <c r="C56" s="476" t="s">
        <v>987</v>
      </c>
      <c r="D56" s="477"/>
      <c r="E56" s="478"/>
      <c r="F56" s="1"/>
      <c r="G56" s="1"/>
      <c r="H56" s="1"/>
      <c r="I56" s="1"/>
      <c r="J56" s="1"/>
      <c r="K56" s="1"/>
      <c r="L56" s="1"/>
      <c r="M56" s="1"/>
      <c r="N56" s="1"/>
      <c r="O56" s="1"/>
      <c r="P56" s="1"/>
    </row>
    <row r="57" spans="1:16" ht="21" x14ac:dyDescent="0.3">
      <c r="A57" s="191"/>
      <c r="B57" s="29" t="s">
        <v>38</v>
      </c>
      <c r="C57" s="286" t="s">
        <v>121</v>
      </c>
      <c r="D57" s="287"/>
      <c r="E57" s="288"/>
      <c r="F57" s="1"/>
      <c r="G57" s="1"/>
      <c r="H57" s="1"/>
      <c r="I57" s="1"/>
      <c r="J57" s="1"/>
      <c r="K57" s="30"/>
      <c r="L57" s="1"/>
      <c r="M57" s="1"/>
      <c r="N57" s="1"/>
      <c r="O57" s="1"/>
      <c r="P57" s="1"/>
    </row>
    <row r="58" spans="1:16" ht="21" x14ac:dyDescent="0.4">
      <c r="A58" s="123" t="s">
        <v>39</v>
      </c>
      <c r="B58" s="289" t="s">
        <v>691</v>
      </c>
      <c r="C58" s="290"/>
      <c r="D58" s="290"/>
      <c r="E58" s="291"/>
      <c r="F58" s="32"/>
      <c r="G58" s="32"/>
      <c r="H58" s="32"/>
      <c r="I58" s="32"/>
      <c r="J58" s="32"/>
      <c r="K58" s="32"/>
      <c r="L58" s="32"/>
      <c r="M58" s="32"/>
      <c r="N58" s="32"/>
      <c r="O58" s="32"/>
      <c r="P58" s="32"/>
    </row>
    <row r="59" spans="1:16" ht="21" x14ac:dyDescent="0.3">
      <c r="A59" s="71"/>
      <c r="B59" s="103" t="s">
        <v>985</v>
      </c>
      <c r="C59" s="73"/>
      <c r="D59" s="73"/>
      <c r="E59" s="73"/>
      <c r="F59" s="73"/>
      <c r="G59" s="1"/>
      <c r="H59" s="1"/>
      <c r="I59" s="1"/>
      <c r="J59" s="1"/>
      <c r="K59" s="1"/>
      <c r="L59" s="1"/>
      <c r="M59" s="1"/>
      <c r="N59" s="1"/>
      <c r="O59" s="1"/>
      <c r="P59" s="1"/>
    </row>
    <row r="60" spans="1:16" ht="21" x14ac:dyDescent="0.3">
      <c r="A60" s="3">
        <v>11</v>
      </c>
      <c r="B60" s="54" t="s">
        <v>41</v>
      </c>
      <c r="C60" s="270" t="s">
        <v>121</v>
      </c>
      <c r="D60" s="270"/>
      <c r="E60" s="270"/>
      <c r="F60" s="2"/>
      <c r="G60" s="2"/>
      <c r="H60" s="74"/>
      <c r="I60" s="2"/>
      <c r="J60" s="2"/>
      <c r="K60" s="1"/>
      <c r="L60" s="1"/>
      <c r="M60" s="1"/>
      <c r="N60" s="1"/>
      <c r="O60" s="1"/>
      <c r="P60" s="1"/>
    </row>
    <row r="61" spans="1:16" ht="21" x14ac:dyDescent="0.3">
      <c r="A61" s="3"/>
      <c r="B61" s="66"/>
      <c r="C61" s="270"/>
      <c r="D61" s="270"/>
      <c r="E61" s="270"/>
      <c r="F61" s="66"/>
      <c r="G61" s="66"/>
      <c r="H61" s="75"/>
      <c r="I61" s="75"/>
      <c r="J61" s="66"/>
      <c r="K61" s="1"/>
      <c r="L61" s="1"/>
      <c r="M61" s="1"/>
      <c r="N61" s="1"/>
      <c r="O61" s="1"/>
      <c r="P61" s="1"/>
    </row>
    <row r="62" spans="1:16" ht="21" x14ac:dyDescent="0.3">
      <c r="A62" s="76">
        <v>12</v>
      </c>
      <c r="B62" s="77" t="s">
        <v>42</v>
      </c>
      <c r="C62" s="272"/>
      <c r="D62" s="273"/>
      <c r="E62" s="274"/>
      <c r="F62" s="78"/>
      <c r="G62" s="79"/>
      <c r="H62" s="79"/>
      <c r="I62" s="79"/>
      <c r="J62" s="79"/>
      <c r="K62" s="79"/>
      <c r="L62" s="79"/>
      <c r="M62" s="79"/>
      <c r="N62" s="79"/>
      <c r="O62" s="42"/>
      <c r="P62" s="42"/>
    </row>
    <row r="63" spans="1:16" ht="21" x14ac:dyDescent="0.3">
      <c r="A63" s="3"/>
      <c r="B63" s="2"/>
      <c r="C63" s="2"/>
      <c r="D63" s="2"/>
      <c r="E63" s="74"/>
      <c r="F63" s="74"/>
      <c r="G63" s="74"/>
      <c r="H63" s="2"/>
      <c r="I63" s="2"/>
      <c r="J63" s="2"/>
      <c r="K63" s="2"/>
      <c r="L63" s="2"/>
      <c r="M63" s="2"/>
      <c r="N63" s="2"/>
      <c r="O63" s="1"/>
      <c r="P63" s="1"/>
    </row>
    <row r="64" spans="1:16" ht="21" x14ac:dyDescent="0.3">
      <c r="A64" s="3"/>
      <c r="B64" s="67" t="s">
        <v>43</v>
      </c>
      <c r="C64" s="68" t="s">
        <v>545</v>
      </c>
      <c r="D64" s="66"/>
      <c r="E64" s="66"/>
      <c r="F64" s="75"/>
      <c r="G64" s="75"/>
      <c r="H64" s="66"/>
      <c r="I64" s="66"/>
      <c r="J64" s="66"/>
      <c r="K64" s="66"/>
      <c r="L64" s="66"/>
      <c r="M64" s="66"/>
      <c r="N64" s="66"/>
      <c r="O64" s="1"/>
      <c r="P64" s="1"/>
    </row>
    <row r="65" spans="1:16" ht="21" x14ac:dyDescent="0.3">
      <c r="A65" s="3"/>
      <c r="B65" s="66"/>
      <c r="C65" s="66"/>
      <c r="D65" s="66"/>
      <c r="E65" s="66"/>
      <c r="F65" s="66"/>
      <c r="G65" s="66"/>
      <c r="H65" s="66"/>
      <c r="I65" s="66"/>
      <c r="J65" s="66"/>
      <c r="K65" s="66"/>
      <c r="L65" s="66"/>
      <c r="M65" s="66"/>
      <c r="N65" s="66"/>
      <c r="O65" s="1"/>
      <c r="P65" s="1"/>
    </row>
    <row r="66" spans="1:16" ht="21" x14ac:dyDescent="0.3">
      <c r="A66" s="3"/>
      <c r="B66" s="295" t="s">
        <v>44</v>
      </c>
      <c r="C66" s="295" t="s">
        <v>557</v>
      </c>
      <c r="D66" s="295" t="s">
        <v>68</v>
      </c>
      <c r="E66" s="297" t="s">
        <v>45</v>
      </c>
      <c r="F66" s="292" t="s">
        <v>480</v>
      </c>
      <c r="G66" s="293"/>
      <c r="H66" s="294"/>
      <c r="I66" s="292" t="s">
        <v>481</v>
      </c>
      <c r="J66" s="293"/>
      <c r="K66" s="294"/>
      <c r="L66" s="292" t="s">
        <v>482</v>
      </c>
      <c r="M66" s="293"/>
      <c r="N66" s="294"/>
      <c r="O66" s="1"/>
      <c r="P66" s="1"/>
    </row>
    <row r="67" spans="1:16" ht="81.599999999999994" x14ac:dyDescent="0.3">
      <c r="A67" s="3"/>
      <c r="B67" s="296"/>
      <c r="C67" s="296"/>
      <c r="D67" s="296"/>
      <c r="E67" s="298"/>
      <c r="F67" s="67" t="s">
        <v>46</v>
      </c>
      <c r="G67" s="67" t="s">
        <v>47</v>
      </c>
      <c r="H67" s="67" t="s">
        <v>48</v>
      </c>
      <c r="I67" s="67" t="s">
        <v>49</v>
      </c>
      <c r="J67" s="67" t="s">
        <v>47</v>
      </c>
      <c r="K67" s="67" t="s">
        <v>48</v>
      </c>
      <c r="L67" s="67" t="s">
        <v>49</v>
      </c>
      <c r="M67" s="67" t="s">
        <v>47</v>
      </c>
      <c r="N67" s="67" t="s">
        <v>48</v>
      </c>
      <c r="O67" s="1"/>
      <c r="P67" s="1"/>
    </row>
    <row r="68" spans="1:16" ht="21" x14ac:dyDescent="0.3">
      <c r="A68" s="3"/>
      <c r="B68" s="67" t="s">
        <v>112</v>
      </c>
      <c r="C68" s="82">
        <v>90.25</v>
      </c>
      <c r="D68" s="82">
        <v>53.25</v>
      </c>
      <c r="E68" s="82">
        <v>95.9</v>
      </c>
      <c r="F68" s="121">
        <v>73</v>
      </c>
      <c r="G68" s="121">
        <v>99.5</v>
      </c>
      <c r="H68" s="121">
        <v>42</v>
      </c>
      <c r="I68" s="121">
        <v>60</v>
      </c>
      <c r="J68" s="121">
        <v>98.76</v>
      </c>
      <c r="K68" s="121">
        <v>56.8</v>
      </c>
      <c r="L68" s="345" t="s">
        <v>108</v>
      </c>
      <c r="M68" s="346"/>
      <c r="N68" s="347"/>
      <c r="O68" s="1"/>
      <c r="P68" s="1"/>
    </row>
    <row r="69" spans="1:16" ht="40.799999999999997" x14ac:dyDescent="0.3">
      <c r="A69" s="3"/>
      <c r="B69" s="69" t="s">
        <v>113</v>
      </c>
      <c r="C69" s="82">
        <v>81921.289999999994</v>
      </c>
      <c r="D69" s="82">
        <v>81467.100000000006</v>
      </c>
      <c r="E69" s="82">
        <v>81508.460000000006</v>
      </c>
      <c r="F69" s="51">
        <v>77414.92</v>
      </c>
      <c r="G69" s="51">
        <v>85978.25</v>
      </c>
      <c r="H69" s="51">
        <v>70234.429999999993</v>
      </c>
      <c r="I69" s="121">
        <v>71947.55</v>
      </c>
      <c r="J69" s="121">
        <v>86159.02</v>
      </c>
      <c r="K69" s="121">
        <v>71425.009999999995</v>
      </c>
      <c r="L69" s="348"/>
      <c r="M69" s="349"/>
      <c r="N69" s="350"/>
      <c r="O69" s="1"/>
      <c r="P69" s="1"/>
    </row>
    <row r="70" spans="1:16" ht="21" x14ac:dyDescent="0.3">
      <c r="A70" s="3"/>
      <c r="B70" s="253" t="s">
        <v>344</v>
      </c>
      <c r="C70" s="270"/>
      <c r="D70" s="270"/>
      <c r="E70" s="270"/>
      <c r="F70" s="270"/>
      <c r="G70" s="270"/>
      <c r="H70" s="270"/>
      <c r="I70" s="270"/>
      <c r="J70" s="270"/>
      <c r="K70" s="270"/>
      <c r="L70" s="270"/>
      <c r="M70" s="270"/>
      <c r="N70" s="254"/>
      <c r="O70" s="1"/>
      <c r="P70" s="1"/>
    </row>
    <row r="71" spans="1:16" ht="21" x14ac:dyDescent="0.3">
      <c r="A71" s="3"/>
      <c r="B71" s="253" t="s">
        <v>345</v>
      </c>
      <c r="C71" s="270"/>
      <c r="D71" s="270"/>
      <c r="E71" s="270"/>
      <c r="F71" s="254"/>
      <c r="G71" s="83"/>
      <c r="H71" s="83"/>
      <c r="I71" s="83"/>
      <c r="J71" s="83"/>
      <c r="K71" s="83"/>
      <c r="L71" s="83"/>
      <c r="M71" s="83"/>
      <c r="N71" s="83"/>
      <c r="O71" s="1"/>
      <c r="P71" s="1"/>
    </row>
    <row r="72" spans="1:16" ht="21" x14ac:dyDescent="0.3">
      <c r="A72" s="3"/>
      <c r="B72" s="253" t="s">
        <v>70</v>
      </c>
      <c r="C72" s="270"/>
      <c r="D72" s="270"/>
      <c r="E72" s="270"/>
      <c r="F72" s="254"/>
      <c r="G72" s="83"/>
      <c r="H72" s="83"/>
      <c r="I72" s="83"/>
      <c r="J72" s="83"/>
      <c r="K72" s="83"/>
      <c r="L72" s="83"/>
      <c r="M72" s="83"/>
      <c r="N72" s="83"/>
      <c r="O72" s="1"/>
      <c r="P72" s="1"/>
    </row>
    <row r="73" spans="1:16" ht="21" x14ac:dyDescent="0.3">
      <c r="A73" s="3"/>
      <c r="B73" s="253" t="s">
        <v>71</v>
      </c>
      <c r="C73" s="270"/>
      <c r="D73" s="270"/>
      <c r="E73" s="270"/>
      <c r="F73" s="254"/>
      <c r="G73" s="83"/>
      <c r="H73" s="83"/>
      <c r="I73" s="83"/>
      <c r="J73" s="83"/>
      <c r="K73" s="83"/>
      <c r="L73" s="83"/>
      <c r="M73" s="83"/>
      <c r="N73" s="83"/>
      <c r="O73" s="1"/>
      <c r="P73" s="1"/>
    </row>
    <row r="74" spans="1:16" ht="21" x14ac:dyDescent="0.3">
      <c r="A74" s="3"/>
      <c r="B74" s="270" t="s">
        <v>973</v>
      </c>
      <c r="C74" s="270"/>
      <c r="D74" s="84"/>
      <c r="E74" s="84"/>
      <c r="F74" s="84"/>
      <c r="G74" s="10"/>
      <c r="H74" s="10"/>
      <c r="I74" s="10"/>
      <c r="J74" s="10"/>
      <c r="K74" s="10"/>
      <c r="L74" s="10"/>
      <c r="M74" s="10"/>
      <c r="N74" s="10"/>
      <c r="O74" s="1"/>
      <c r="P74" s="1"/>
    </row>
    <row r="75" spans="1:16" ht="21" x14ac:dyDescent="0.3">
      <c r="A75" s="3">
        <v>13</v>
      </c>
      <c r="B75" s="261" t="s">
        <v>51</v>
      </c>
      <c r="C75" s="262"/>
      <c r="D75" s="262"/>
      <c r="E75" s="262"/>
      <c r="F75" s="262"/>
      <c r="G75" s="263"/>
      <c r="H75" s="2"/>
      <c r="I75" s="2"/>
      <c r="J75" s="2"/>
      <c r="K75" s="2"/>
      <c r="L75" s="2"/>
      <c r="M75" s="2"/>
      <c r="N75" s="2"/>
      <c r="O75" s="1"/>
      <c r="P75" s="1"/>
    </row>
    <row r="76" spans="1:16" ht="21" x14ac:dyDescent="0.3">
      <c r="A76" s="3"/>
      <c r="B76" s="1"/>
      <c r="C76" s="66"/>
      <c r="D76" s="66"/>
      <c r="E76" s="66"/>
      <c r="F76" s="66"/>
      <c r="G76" s="66"/>
      <c r="H76" s="66"/>
      <c r="I76" s="66"/>
      <c r="J76" s="66"/>
      <c r="K76" s="66"/>
      <c r="L76" s="66"/>
      <c r="M76" s="66"/>
      <c r="N76" s="66"/>
      <c r="O76" s="1"/>
      <c r="P76" s="1"/>
    </row>
    <row r="77" spans="1:16" ht="61.2" x14ac:dyDescent="0.3">
      <c r="A77" s="3"/>
      <c r="B77" s="25" t="s">
        <v>52</v>
      </c>
      <c r="C77" s="25" t="s">
        <v>53</v>
      </c>
      <c r="D77" s="25" t="s">
        <v>603</v>
      </c>
      <c r="E77" s="25" t="s">
        <v>54</v>
      </c>
      <c r="F77" s="25" t="s">
        <v>55</v>
      </c>
      <c r="G77" s="25" t="s">
        <v>56</v>
      </c>
      <c r="H77" s="10"/>
      <c r="I77" s="10"/>
      <c r="J77" s="10"/>
      <c r="K77" s="10"/>
      <c r="L77" s="10"/>
      <c r="M77" s="10"/>
      <c r="N77" s="10"/>
      <c r="O77" s="1"/>
      <c r="P77" s="1"/>
    </row>
    <row r="78" spans="1:16" ht="21" x14ac:dyDescent="0.3">
      <c r="A78" s="3"/>
      <c r="B78" s="297" t="s">
        <v>72</v>
      </c>
      <c r="C78" s="54" t="s">
        <v>546</v>
      </c>
      <c r="D78" s="151">
        <v>8.19</v>
      </c>
      <c r="E78" s="88">
        <v>3.96</v>
      </c>
      <c r="F78" s="88">
        <v>4.76</v>
      </c>
      <c r="G78" s="311" t="s">
        <v>83</v>
      </c>
      <c r="H78" s="1"/>
      <c r="I78" s="1"/>
      <c r="J78" s="1"/>
      <c r="K78" s="1"/>
      <c r="L78" s="1"/>
      <c r="M78" s="1"/>
      <c r="N78" s="1"/>
      <c r="O78" s="1"/>
      <c r="P78" s="1"/>
    </row>
    <row r="79" spans="1:16" ht="21" x14ac:dyDescent="0.3">
      <c r="A79" s="3"/>
      <c r="B79" s="309"/>
      <c r="C79" s="54" t="s">
        <v>237</v>
      </c>
      <c r="D79" s="135"/>
      <c r="E79" s="88"/>
      <c r="F79" s="88"/>
      <c r="G79" s="311"/>
      <c r="H79" s="1"/>
      <c r="I79" s="1"/>
      <c r="J79" s="1"/>
      <c r="K79" s="1"/>
      <c r="L79" s="1"/>
      <c r="M79" s="1"/>
      <c r="N79" s="1"/>
      <c r="O79" s="1"/>
      <c r="P79" s="1"/>
    </row>
    <row r="80" spans="1:16" ht="21" x14ac:dyDescent="0.3">
      <c r="A80" s="3"/>
      <c r="B80" s="309"/>
      <c r="C80" s="5" t="s">
        <v>692</v>
      </c>
      <c r="D80" s="135">
        <v>0.63</v>
      </c>
      <c r="E80" s="88">
        <v>0.41</v>
      </c>
      <c r="F80" s="88">
        <v>0.52</v>
      </c>
      <c r="G80" s="311"/>
      <c r="H80" s="1"/>
      <c r="I80" s="1"/>
      <c r="J80" s="1"/>
      <c r="K80" s="1"/>
      <c r="L80" s="1"/>
      <c r="M80" s="1"/>
      <c r="N80" s="1"/>
      <c r="O80" s="1"/>
      <c r="P80" s="1"/>
    </row>
    <row r="81" spans="1:16" ht="21" x14ac:dyDescent="0.3">
      <c r="A81" s="3"/>
      <c r="B81" s="298"/>
      <c r="C81" s="54"/>
      <c r="D81" s="140"/>
      <c r="E81" s="88"/>
      <c r="F81" s="88"/>
      <c r="G81" s="311"/>
      <c r="H81" s="1"/>
      <c r="I81" s="1"/>
      <c r="J81" s="1"/>
      <c r="K81" s="1"/>
      <c r="L81" s="1"/>
      <c r="M81" s="1"/>
      <c r="N81" s="1"/>
      <c r="O81" s="1"/>
      <c r="P81" s="1"/>
    </row>
    <row r="82" spans="1:16" ht="21" x14ac:dyDescent="0.3">
      <c r="A82" s="3"/>
      <c r="B82" s="297" t="s">
        <v>59</v>
      </c>
      <c r="C82" s="54" t="s">
        <v>546</v>
      </c>
      <c r="D82" s="141">
        <v>14.62</v>
      </c>
      <c r="E82" s="90">
        <f>Q82/E78</f>
        <v>0</v>
      </c>
      <c r="F82" s="90">
        <f>I68/F78</f>
        <v>12.605042016806724</v>
      </c>
      <c r="G82" s="311"/>
      <c r="H82" s="1"/>
      <c r="I82" s="1"/>
      <c r="J82" s="1"/>
      <c r="K82" s="1"/>
      <c r="L82" s="1"/>
      <c r="M82" s="1"/>
      <c r="N82" s="1"/>
      <c r="O82" s="1"/>
      <c r="P82" s="1"/>
    </row>
    <row r="83" spans="1:16" ht="21" x14ac:dyDescent="0.3">
      <c r="A83" s="3"/>
      <c r="B83" s="309"/>
      <c r="C83" s="54" t="s">
        <v>237</v>
      </c>
      <c r="D83" s="135"/>
      <c r="E83" s="88"/>
      <c r="F83" s="88"/>
      <c r="G83" s="311"/>
      <c r="H83" s="1"/>
      <c r="I83" s="1"/>
      <c r="J83" s="1"/>
      <c r="K83" s="1"/>
      <c r="L83" s="1"/>
      <c r="M83" s="1"/>
      <c r="N83" s="1"/>
      <c r="O83" s="1"/>
      <c r="P83" s="1"/>
    </row>
    <row r="84" spans="1:16" ht="21" x14ac:dyDescent="0.3">
      <c r="A84" s="3"/>
      <c r="B84" s="309"/>
      <c r="C84" s="5" t="s">
        <v>547</v>
      </c>
      <c r="D84" s="135">
        <v>41.27</v>
      </c>
      <c r="E84" s="90">
        <f>Q84/E80</f>
        <v>0</v>
      </c>
      <c r="F84" s="90">
        <f>17.1/F80</f>
        <v>32.884615384615387</v>
      </c>
      <c r="G84" s="311"/>
      <c r="H84" s="1"/>
      <c r="I84" s="1"/>
      <c r="J84" s="1"/>
      <c r="K84" s="1"/>
      <c r="L84" s="1"/>
      <c r="M84" s="1"/>
      <c r="N84" s="1"/>
      <c r="O84" s="1"/>
      <c r="P84" s="1"/>
    </row>
    <row r="85" spans="1:16" ht="21" x14ac:dyDescent="0.3">
      <c r="A85" s="3"/>
      <c r="B85" s="298"/>
      <c r="C85" s="54"/>
      <c r="D85" s="140"/>
      <c r="E85" s="88"/>
      <c r="F85" s="88"/>
      <c r="G85" s="311"/>
      <c r="H85" s="1"/>
      <c r="I85" s="1"/>
      <c r="J85" s="1"/>
      <c r="K85" s="1"/>
      <c r="L85" s="1"/>
      <c r="M85" s="1"/>
      <c r="N85" s="1"/>
      <c r="O85" s="1"/>
      <c r="P85" s="1"/>
    </row>
    <row r="86" spans="1:16" ht="21" x14ac:dyDescent="0.3">
      <c r="A86" s="3"/>
      <c r="B86" s="297" t="s">
        <v>60</v>
      </c>
      <c r="C86" s="54" t="s">
        <v>546</v>
      </c>
      <c r="D86" s="142">
        <v>0.42130000000000001</v>
      </c>
      <c r="E86" s="110">
        <v>0.11841932662877132</v>
      </c>
      <c r="F86" s="110">
        <v>0.121</v>
      </c>
      <c r="G86" s="311"/>
      <c r="H86" s="1"/>
      <c r="I86" s="1"/>
      <c r="J86" s="1"/>
      <c r="K86" s="1"/>
      <c r="L86" s="1"/>
      <c r="M86" s="1"/>
      <c r="N86" s="1"/>
      <c r="O86" s="1"/>
      <c r="P86" s="1"/>
    </row>
    <row r="87" spans="1:16" ht="21" x14ac:dyDescent="0.3">
      <c r="A87" s="3"/>
      <c r="B87" s="309"/>
      <c r="C87" s="54" t="s">
        <v>237</v>
      </c>
      <c r="D87" s="5"/>
      <c r="E87" s="88"/>
      <c r="F87" s="88"/>
      <c r="G87" s="311"/>
      <c r="H87" s="1"/>
      <c r="I87" s="1"/>
      <c r="J87" s="1"/>
      <c r="K87" s="1"/>
      <c r="L87" s="1"/>
      <c r="M87" s="1"/>
      <c r="N87" s="1"/>
      <c r="O87" s="1"/>
      <c r="P87" s="1"/>
    </row>
    <row r="88" spans="1:16" ht="21" x14ac:dyDescent="0.3">
      <c r="A88" s="3"/>
      <c r="B88" s="309"/>
      <c r="C88" s="5" t="s">
        <v>547</v>
      </c>
      <c r="D88" s="126">
        <v>4.1000000000000002E-2</v>
      </c>
      <c r="E88" s="110">
        <v>2.5780633540122191E-2</v>
      </c>
      <c r="F88" s="110">
        <v>3.1899999999999998E-2</v>
      </c>
      <c r="G88" s="311"/>
      <c r="H88" s="1"/>
      <c r="I88" s="1"/>
      <c r="J88" s="1"/>
      <c r="K88" s="1"/>
      <c r="L88" s="1"/>
      <c r="M88" s="1"/>
      <c r="N88" s="1"/>
      <c r="O88" s="1"/>
      <c r="P88" s="1"/>
    </row>
    <row r="89" spans="1:16" ht="21" x14ac:dyDescent="0.3">
      <c r="A89" s="3"/>
      <c r="B89" s="298"/>
      <c r="C89" s="54"/>
      <c r="D89" s="140"/>
      <c r="E89" s="88"/>
      <c r="F89" s="88"/>
      <c r="G89" s="311"/>
      <c r="H89" s="1"/>
      <c r="I89" s="1"/>
      <c r="J89" s="1"/>
      <c r="K89" s="1"/>
      <c r="L89" s="1"/>
      <c r="M89" s="1"/>
      <c r="N89" s="1"/>
      <c r="O89" s="1"/>
      <c r="P89" s="1"/>
    </row>
    <row r="90" spans="1:16" ht="21" x14ac:dyDescent="0.3">
      <c r="A90" s="3"/>
      <c r="B90" s="310" t="s">
        <v>61</v>
      </c>
      <c r="C90" s="54" t="s">
        <v>546</v>
      </c>
      <c r="D90" s="135">
        <v>12.02</v>
      </c>
      <c r="E90" s="90">
        <v>28.945703075560054</v>
      </c>
      <c r="F90" s="88">
        <v>35.93</v>
      </c>
      <c r="G90" s="311"/>
      <c r="H90" s="1"/>
      <c r="I90" s="1"/>
      <c r="J90" s="1"/>
      <c r="K90" s="1"/>
      <c r="L90" s="1"/>
      <c r="M90" s="1"/>
      <c r="N90" s="1"/>
      <c r="O90" s="1"/>
      <c r="P90" s="1"/>
    </row>
    <row r="91" spans="1:16" ht="21" x14ac:dyDescent="0.3">
      <c r="A91" s="3"/>
      <c r="B91" s="310"/>
      <c r="C91" s="54" t="s">
        <v>237</v>
      </c>
      <c r="D91" s="135"/>
      <c r="E91" s="88"/>
      <c r="F91" s="88"/>
      <c r="G91" s="311"/>
      <c r="H91" s="1"/>
      <c r="I91" s="1"/>
      <c r="J91" s="1"/>
      <c r="K91" s="1"/>
      <c r="L91" s="1"/>
      <c r="M91" s="1"/>
      <c r="N91" s="1"/>
      <c r="O91" s="1"/>
      <c r="P91" s="1"/>
    </row>
    <row r="92" spans="1:16" ht="21" x14ac:dyDescent="0.3">
      <c r="A92" s="3"/>
      <c r="B92" s="310"/>
      <c r="C92" s="5" t="s">
        <v>547</v>
      </c>
      <c r="D92" s="135">
        <v>15.41</v>
      </c>
      <c r="E92" s="90">
        <v>15.814519557823129</v>
      </c>
      <c r="F92" s="88">
        <v>16.34</v>
      </c>
      <c r="G92" s="311"/>
      <c r="H92" s="1"/>
      <c r="I92" s="1"/>
      <c r="J92" s="1"/>
      <c r="K92" s="1"/>
      <c r="L92" s="1"/>
      <c r="M92" s="1"/>
      <c r="N92" s="1"/>
      <c r="O92" s="1"/>
      <c r="P92" s="1"/>
    </row>
    <row r="93" spans="1:16" ht="21" x14ac:dyDescent="0.35">
      <c r="A93" s="3"/>
      <c r="B93" s="310"/>
      <c r="C93" s="54"/>
      <c r="D93" s="144"/>
      <c r="E93" s="88"/>
      <c r="F93" s="88"/>
      <c r="G93" s="311"/>
      <c r="H93" s="1"/>
      <c r="I93" s="1"/>
      <c r="J93" s="1"/>
      <c r="K93" s="1"/>
      <c r="L93" s="1"/>
      <c r="M93" s="1"/>
      <c r="N93" s="1"/>
      <c r="O93" s="1"/>
      <c r="P93" s="1"/>
    </row>
    <row r="94" spans="1:16" ht="21" x14ac:dyDescent="0.3">
      <c r="A94" s="3"/>
      <c r="B94" s="301"/>
      <c r="C94" s="302"/>
      <c r="D94" s="302"/>
      <c r="E94" s="302"/>
      <c r="F94" s="302"/>
      <c r="G94" s="303"/>
      <c r="H94" s="1"/>
      <c r="I94" s="1"/>
      <c r="J94" s="1"/>
      <c r="K94" s="1"/>
      <c r="L94" s="1"/>
      <c r="M94" s="1"/>
      <c r="N94" s="1"/>
      <c r="O94" s="1"/>
      <c r="P94" s="1"/>
    </row>
    <row r="95" spans="1:16" ht="21" x14ac:dyDescent="0.3">
      <c r="A95" s="2"/>
      <c r="B95" s="253" t="s">
        <v>82</v>
      </c>
      <c r="C95" s="270"/>
      <c r="D95" s="270"/>
      <c r="E95" s="270"/>
      <c r="F95" s="270"/>
      <c r="G95" s="254"/>
      <c r="H95" s="2"/>
      <c r="I95" s="2"/>
      <c r="J95" s="2"/>
      <c r="K95" s="2"/>
      <c r="L95" s="2"/>
      <c r="M95" s="2"/>
      <c r="N95" s="2"/>
      <c r="O95" s="2"/>
      <c r="P95" s="2"/>
    </row>
    <row r="96" spans="1:16" ht="21" x14ac:dyDescent="0.3">
      <c r="A96" s="3"/>
      <c r="B96" s="304" t="s">
        <v>560</v>
      </c>
      <c r="C96" s="242"/>
      <c r="D96" s="242"/>
      <c r="E96" s="242"/>
      <c r="F96" s="242"/>
      <c r="G96" s="305"/>
      <c r="H96" s="1"/>
      <c r="I96" s="1"/>
      <c r="J96" s="1"/>
      <c r="K96" s="1"/>
      <c r="L96" s="1"/>
      <c r="M96" s="1"/>
      <c r="N96" s="1"/>
      <c r="O96" s="1"/>
      <c r="P96" s="1"/>
    </row>
    <row r="97" spans="1:16" ht="21" x14ac:dyDescent="0.3">
      <c r="A97" s="3"/>
      <c r="B97" s="248"/>
      <c r="C97" s="248"/>
      <c r="D97" s="248"/>
      <c r="E97" s="55"/>
      <c r="F97" s="55"/>
      <c r="G97" s="55"/>
      <c r="H97" s="1"/>
      <c r="I97" s="1"/>
      <c r="J97" s="1"/>
      <c r="K97" s="1"/>
      <c r="L97" s="1"/>
      <c r="M97" s="1"/>
      <c r="N97" s="1"/>
      <c r="O97" s="1"/>
      <c r="P97" s="1"/>
    </row>
    <row r="98" spans="1:16" ht="21" x14ac:dyDescent="0.3">
      <c r="A98" s="1"/>
      <c r="B98" s="1"/>
      <c r="C98" s="306"/>
      <c r="D98" s="306"/>
      <c r="E98" s="306"/>
      <c r="F98" s="306"/>
      <c r="G98" s="306"/>
      <c r="H98" s="1"/>
      <c r="I98" s="1"/>
      <c r="J98" s="1"/>
      <c r="K98" s="1"/>
      <c r="L98" s="1"/>
      <c r="M98" s="1"/>
      <c r="N98" s="1"/>
      <c r="O98" s="1"/>
      <c r="P98" s="1"/>
    </row>
    <row r="99" spans="1:16" ht="21" x14ac:dyDescent="0.3">
      <c r="A99" s="3">
        <v>14</v>
      </c>
      <c r="B99" s="54" t="s">
        <v>63</v>
      </c>
      <c r="C99" s="307" t="s">
        <v>50</v>
      </c>
      <c r="D99" s="308"/>
      <c r="E99" s="308"/>
      <c r="F99" s="308"/>
      <c r="G99" s="249"/>
      <c r="H99" s="1"/>
      <c r="I99" s="1"/>
      <c r="J99" s="1"/>
      <c r="K99" s="1"/>
      <c r="L99" s="1"/>
      <c r="M99" s="1"/>
      <c r="N99" s="1"/>
      <c r="O99" s="1"/>
      <c r="P99" s="1"/>
    </row>
    <row r="100" spans="1:16" ht="21" x14ac:dyDescent="0.3">
      <c r="A100" s="1"/>
      <c r="B100" s="1"/>
      <c r="C100" s="55"/>
      <c r="D100" s="55"/>
      <c r="E100" s="55"/>
      <c r="F100" s="55"/>
      <c r="G100" s="55"/>
      <c r="H100" s="1"/>
      <c r="I100" s="1"/>
      <c r="J100" s="1"/>
      <c r="K100" s="1"/>
      <c r="L100" s="1"/>
      <c r="M100" s="1"/>
      <c r="N100" s="1"/>
      <c r="O100" s="1"/>
      <c r="P100" s="1"/>
    </row>
    <row r="101" spans="1:16" ht="21" x14ac:dyDescent="0.3">
      <c r="A101" s="1"/>
      <c r="B101" s="299" t="s">
        <v>556</v>
      </c>
      <c r="C101" s="299"/>
      <c r="D101" s="299"/>
      <c r="E101" s="299"/>
      <c r="F101" s="299"/>
      <c r="G101" s="299"/>
      <c r="H101" s="299"/>
      <c r="I101" s="1"/>
      <c r="J101" s="1"/>
      <c r="K101" s="1"/>
      <c r="L101" s="1"/>
      <c r="M101" s="1"/>
      <c r="N101" s="1"/>
      <c r="O101" s="1"/>
      <c r="P101" s="1"/>
    </row>
  </sheetData>
  <mergeCells count="64">
    <mergeCell ref="C20:E20"/>
    <mergeCell ref="A1:B1"/>
    <mergeCell ref="C3:E3"/>
    <mergeCell ref="C5:E5"/>
    <mergeCell ref="B6:D6"/>
    <mergeCell ref="B9:D9"/>
    <mergeCell ref="C11:E11"/>
    <mergeCell ref="B12:D12"/>
    <mergeCell ref="C14:E14"/>
    <mergeCell ref="B15:D15"/>
    <mergeCell ref="B17:C17"/>
    <mergeCell ref="B19:E19"/>
    <mergeCell ref="B39:D39"/>
    <mergeCell ref="C21:E21"/>
    <mergeCell ref="C22:E22"/>
    <mergeCell ref="C23:E23"/>
    <mergeCell ref="C24:E24"/>
    <mergeCell ref="B26:E26"/>
    <mergeCell ref="B27:E27"/>
    <mergeCell ref="E29:E32"/>
    <mergeCell ref="B33:E33"/>
    <mergeCell ref="B35:E35"/>
    <mergeCell ref="C57:E57"/>
    <mergeCell ref="B41:E41"/>
    <mergeCell ref="C42:E42"/>
    <mergeCell ref="C43:E43"/>
    <mergeCell ref="C44:E44"/>
    <mergeCell ref="B45:E45"/>
    <mergeCell ref="B47:E47"/>
    <mergeCell ref="B50:E50"/>
    <mergeCell ref="B53:E53"/>
    <mergeCell ref="B54:B55"/>
    <mergeCell ref="C54:E55"/>
    <mergeCell ref="C56:E56"/>
    <mergeCell ref="B58:E58"/>
    <mergeCell ref="C60:E60"/>
    <mergeCell ref="C61:E61"/>
    <mergeCell ref="C62:E62"/>
    <mergeCell ref="B66:B67"/>
    <mergeCell ref="C66:C67"/>
    <mergeCell ref="D66:D67"/>
    <mergeCell ref="E66:E67"/>
    <mergeCell ref="F66:H66"/>
    <mergeCell ref="I66:K66"/>
    <mergeCell ref="L66:N66"/>
    <mergeCell ref="L68:N69"/>
    <mergeCell ref="B78:B81"/>
    <mergeCell ref="G78:G93"/>
    <mergeCell ref="B82:B85"/>
    <mergeCell ref="B70:N70"/>
    <mergeCell ref="B71:F71"/>
    <mergeCell ref="B72:F72"/>
    <mergeCell ref="B73:F73"/>
    <mergeCell ref="B75:G75"/>
    <mergeCell ref="B74:C74"/>
    <mergeCell ref="C98:G98"/>
    <mergeCell ref="C99:G99"/>
    <mergeCell ref="B101:H101"/>
    <mergeCell ref="B86:B89"/>
    <mergeCell ref="B90:B93"/>
    <mergeCell ref="B94:G94"/>
    <mergeCell ref="B95:G95"/>
    <mergeCell ref="B96:G96"/>
    <mergeCell ref="B97:D97"/>
  </mergeCells>
  <pageMargins left="0.70866141732283472" right="0.70866141732283472" top="0.74803149606299213" bottom="0.74803149606299213" header="0.31496062992125984" footer="0.31496062992125984"/>
  <pageSetup paperSize="9" scale="30" fitToWidth="70" fitToHeight="2"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646AF-69EB-42F6-974E-CFA46A36022E}">
  <dimension ref="A1:P107"/>
  <sheetViews>
    <sheetView view="pageBreakPreview" topLeftCell="A49" zoomScale="64" zoomScaleNormal="64" workbookViewId="0">
      <selection activeCell="E93" sqref="E93"/>
    </sheetView>
  </sheetViews>
  <sheetFormatPr defaultRowHeight="21" x14ac:dyDescent="0.3"/>
  <cols>
    <col min="1" max="1" width="9.109375" style="1"/>
    <col min="2" max="2" width="58.33203125" style="1" customWidth="1"/>
    <col min="3" max="3" width="81" style="1" customWidth="1"/>
    <col min="4" max="4" width="73.109375" style="1" customWidth="1"/>
    <col min="5" max="5" width="27.6640625" style="1" customWidth="1"/>
    <col min="6" max="6" width="13.77734375" style="1" customWidth="1"/>
    <col min="7" max="7" width="14.5546875" style="1" customWidth="1"/>
    <col min="8" max="8" width="22.6640625" style="1" customWidth="1"/>
    <col min="9" max="9" width="13.77734375" style="1" customWidth="1"/>
    <col min="10" max="10" width="14.5546875" style="1" customWidth="1"/>
    <col min="11" max="11" width="13.5546875" style="1" customWidth="1"/>
    <col min="12" max="16" width="9.109375" style="1"/>
  </cols>
  <sheetData>
    <row r="1" spans="1:5" x14ac:dyDescent="0.3">
      <c r="A1" s="246" t="s">
        <v>0</v>
      </c>
      <c r="B1" s="246"/>
      <c r="D1" s="2"/>
    </row>
    <row r="3" spans="1:5" ht="40.799999999999997" x14ac:dyDescent="0.3">
      <c r="A3" s="3" t="s">
        <v>1</v>
      </c>
      <c r="B3" s="54" t="s">
        <v>2</v>
      </c>
      <c r="C3" s="300" t="s">
        <v>592</v>
      </c>
      <c r="D3" s="300"/>
      <c r="E3" s="300"/>
    </row>
    <row r="4" spans="1:5" x14ac:dyDescent="0.3">
      <c r="D4" s="22"/>
    </row>
    <row r="5" spans="1:5" x14ac:dyDescent="0.3">
      <c r="A5" s="62">
        <v>1</v>
      </c>
      <c r="B5" s="63" t="s">
        <v>3</v>
      </c>
      <c r="C5" s="247" t="s">
        <v>593</v>
      </c>
      <c r="D5" s="248"/>
      <c r="E5" s="249"/>
    </row>
    <row r="6" spans="1:5" x14ac:dyDescent="0.3">
      <c r="A6" s="3"/>
      <c r="B6" s="250" t="s">
        <v>4</v>
      </c>
      <c r="C6" s="251"/>
      <c r="D6" s="252"/>
      <c r="E6" s="10"/>
    </row>
    <row r="7" spans="1:5" x14ac:dyDescent="0.3">
      <c r="A7" s="3"/>
      <c r="B7" s="2"/>
      <c r="D7" s="22"/>
    </row>
    <row r="8" spans="1:5" x14ac:dyDescent="0.3">
      <c r="A8" s="3">
        <v>2</v>
      </c>
      <c r="B8" s="63" t="s">
        <v>5</v>
      </c>
      <c r="C8" s="12" t="s">
        <v>594</v>
      </c>
      <c r="D8" s="22"/>
    </row>
    <row r="9" spans="1:5" x14ac:dyDescent="0.3">
      <c r="A9" s="3"/>
      <c r="B9" s="250" t="s">
        <v>4</v>
      </c>
      <c r="C9" s="251"/>
      <c r="D9" s="252"/>
    </row>
    <row r="10" spans="1:5" x14ac:dyDescent="0.3">
      <c r="A10" s="3"/>
      <c r="B10" s="2"/>
      <c r="D10" s="22"/>
    </row>
    <row r="11" spans="1:5" ht="40.799999999999997" x14ac:dyDescent="0.3">
      <c r="A11" s="3">
        <v>3</v>
      </c>
      <c r="B11" s="63" t="s">
        <v>6</v>
      </c>
      <c r="C11" s="247" t="s">
        <v>90</v>
      </c>
      <c r="D11" s="248"/>
      <c r="E11" s="249"/>
    </row>
    <row r="12" spans="1:5" x14ac:dyDescent="0.3">
      <c r="A12" s="3"/>
      <c r="B12" s="250" t="s">
        <v>4</v>
      </c>
      <c r="C12" s="251"/>
      <c r="D12" s="252"/>
      <c r="E12" s="10"/>
    </row>
    <row r="13" spans="1:5" x14ac:dyDescent="0.3">
      <c r="A13" s="3"/>
      <c r="B13" s="2"/>
      <c r="D13" s="22"/>
    </row>
    <row r="14" spans="1:5" x14ac:dyDescent="0.3">
      <c r="A14" s="3">
        <v>4</v>
      </c>
      <c r="B14" s="54" t="s">
        <v>92</v>
      </c>
      <c r="C14" s="247" t="s">
        <v>90</v>
      </c>
      <c r="D14" s="248"/>
      <c r="E14" s="249"/>
    </row>
    <row r="15" spans="1:5" x14ac:dyDescent="0.3">
      <c r="A15" s="3"/>
      <c r="B15" s="250" t="s">
        <v>4</v>
      </c>
      <c r="C15" s="251"/>
      <c r="D15" s="252"/>
    </row>
    <row r="16" spans="1:5" x14ac:dyDescent="0.3">
      <c r="A16" s="3">
        <v>4</v>
      </c>
      <c r="B16" s="54" t="s">
        <v>7</v>
      </c>
      <c r="C16" s="5" t="s">
        <v>614</v>
      </c>
      <c r="D16" s="22"/>
    </row>
    <row r="17" spans="1:14" x14ac:dyDescent="0.3">
      <c r="A17" s="3"/>
      <c r="B17" s="253" t="s">
        <v>8</v>
      </c>
      <c r="C17" s="254"/>
      <c r="D17" s="22"/>
    </row>
    <row r="18" spans="1:14" x14ac:dyDescent="0.3">
      <c r="A18" s="3"/>
      <c r="D18" s="22"/>
    </row>
    <row r="19" spans="1:14" x14ac:dyDescent="0.3">
      <c r="A19" s="3">
        <v>5</v>
      </c>
      <c r="B19" s="255" t="s">
        <v>9</v>
      </c>
      <c r="C19" s="256"/>
      <c r="D19" s="256"/>
      <c r="E19" s="257"/>
      <c r="F19" s="2"/>
      <c r="G19" s="2"/>
      <c r="H19" s="2"/>
      <c r="I19" s="2"/>
      <c r="J19" s="10"/>
      <c r="K19" s="10"/>
      <c r="L19" s="10"/>
      <c r="M19" s="10"/>
      <c r="N19" s="10"/>
    </row>
    <row r="20" spans="1:14" x14ac:dyDescent="0.3">
      <c r="A20" s="3"/>
      <c r="B20" s="65" t="s">
        <v>10</v>
      </c>
      <c r="C20" s="243">
        <v>9.3700000000000006E-2</v>
      </c>
      <c r="D20" s="244"/>
      <c r="E20" s="245"/>
      <c r="F20" s="66"/>
      <c r="G20" s="10"/>
      <c r="H20" s="10"/>
      <c r="I20" s="10"/>
      <c r="J20" s="10"/>
      <c r="K20" s="10"/>
      <c r="L20" s="10"/>
      <c r="M20" s="10"/>
      <c r="N20" s="10"/>
    </row>
    <row r="21" spans="1:14" ht="61.2" x14ac:dyDescent="0.3">
      <c r="A21" s="3"/>
      <c r="B21" s="65" t="s">
        <v>595</v>
      </c>
      <c r="C21" s="243">
        <v>9.35E-2</v>
      </c>
      <c r="D21" s="244"/>
      <c r="E21" s="245"/>
      <c r="F21" s="66"/>
      <c r="G21" s="10"/>
      <c r="I21" s="10"/>
      <c r="J21" s="10"/>
      <c r="K21" s="10"/>
      <c r="L21" s="10"/>
      <c r="M21" s="10"/>
      <c r="N21" s="10"/>
    </row>
    <row r="22" spans="1:14" x14ac:dyDescent="0.3">
      <c r="A22" s="3"/>
      <c r="B22" s="65" t="s">
        <v>474</v>
      </c>
      <c r="C22" s="243">
        <v>9.2899999999999996E-2</v>
      </c>
      <c r="D22" s="244"/>
      <c r="E22" s="245"/>
      <c r="F22" s="66"/>
      <c r="G22" s="10"/>
      <c r="H22" s="10"/>
      <c r="I22" s="10"/>
      <c r="J22" s="10"/>
      <c r="K22" s="10"/>
      <c r="L22" s="10"/>
      <c r="M22" s="10"/>
      <c r="N22" s="10"/>
    </row>
    <row r="23" spans="1:14" x14ac:dyDescent="0.3">
      <c r="A23" s="3"/>
      <c r="B23" s="64" t="s">
        <v>475</v>
      </c>
      <c r="C23" s="369">
        <v>8.8999999999999996E-2</v>
      </c>
      <c r="D23" s="370"/>
      <c r="E23" s="371"/>
      <c r="F23" s="66"/>
      <c r="G23" s="10"/>
      <c r="H23" s="10"/>
      <c r="I23" s="10"/>
      <c r="J23" s="10"/>
      <c r="K23" s="10"/>
      <c r="L23" s="10"/>
      <c r="M23" s="10"/>
      <c r="N23" s="10"/>
    </row>
    <row r="24" spans="1:14" x14ac:dyDescent="0.3">
      <c r="A24" s="3"/>
      <c r="B24" s="67" t="s">
        <v>476</v>
      </c>
      <c r="C24" s="401" t="s">
        <v>15</v>
      </c>
      <c r="D24" s="401"/>
      <c r="E24" s="401"/>
      <c r="F24" s="66"/>
      <c r="G24" s="10"/>
      <c r="H24" s="10"/>
      <c r="I24" s="10"/>
      <c r="J24" s="10"/>
      <c r="K24" s="10"/>
      <c r="L24" s="10"/>
      <c r="M24" s="10"/>
      <c r="N24" s="10"/>
    </row>
    <row r="25" spans="1:14" x14ac:dyDescent="0.3">
      <c r="A25" s="3"/>
      <c r="B25" s="66" t="s">
        <v>64</v>
      </c>
      <c r="C25" s="66"/>
      <c r="D25" s="66"/>
      <c r="E25" s="66"/>
      <c r="F25" s="66"/>
      <c r="G25" s="10"/>
      <c r="H25" s="10"/>
      <c r="I25" s="10"/>
      <c r="J25" s="10"/>
      <c r="K25" s="10"/>
      <c r="L25" s="10"/>
      <c r="M25" s="10"/>
      <c r="N25" s="10"/>
    </row>
    <row r="26" spans="1:14" x14ac:dyDescent="0.3">
      <c r="A26" s="3">
        <v>6</v>
      </c>
      <c r="B26" s="261" t="s">
        <v>74</v>
      </c>
      <c r="C26" s="262"/>
      <c r="D26" s="262"/>
      <c r="E26" s="263"/>
      <c r="F26" s="2"/>
      <c r="G26" s="2"/>
      <c r="H26" s="10"/>
      <c r="I26" s="2"/>
      <c r="J26" s="2"/>
    </row>
    <row r="27" spans="1:14" x14ac:dyDescent="0.3">
      <c r="A27" s="3"/>
      <c r="B27" s="264" t="s">
        <v>17</v>
      </c>
      <c r="C27" s="265"/>
      <c r="D27" s="265"/>
      <c r="E27" s="266"/>
      <c r="F27" s="66"/>
    </row>
    <row r="28" spans="1:14" x14ac:dyDescent="0.3">
      <c r="A28" s="3"/>
      <c r="B28" s="67" t="s">
        <v>18</v>
      </c>
      <c r="C28" s="25" t="s">
        <v>477</v>
      </c>
      <c r="D28" s="25" t="s">
        <v>478</v>
      </c>
      <c r="E28" s="25" t="s">
        <v>479</v>
      </c>
      <c r="F28" s="66"/>
    </row>
    <row r="29" spans="1:14" x14ac:dyDescent="0.3">
      <c r="A29" s="3"/>
      <c r="B29" s="68" t="s">
        <v>21</v>
      </c>
      <c r="C29" s="27">
        <v>13103.19</v>
      </c>
      <c r="D29" s="127">
        <v>16020.8</v>
      </c>
      <c r="E29" s="267" t="s">
        <v>22</v>
      </c>
      <c r="F29" s="66"/>
    </row>
    <row r="30" spans="1:14" x14ac:dyDescent="0.3">
      <c r="A30" s="3"/>
      <c r="B30" s="68" t="s">
        <v>23</v>
      </c>
      <c r="C30" s="27">
        <v>1104.4100000000001</v>
      </c>
      <c r="D30" s="127">
        <v>1430.39</v>
      </c>
      <c r="E30" s="268"/>
      <c r="F30" s="66"/>
    </row>
    <row r="31" spans="1:14" x14ac:dyDescent="0.3">
      <c r="A31" s="3"/>
      <c r="B31" s="68" t="s">
        <v>24</v>
      </c>
      <c r="C31" s="27">
        <v>277.69</v>
      </c>
      <c r="D31" s="27">
        <v>277.69</v>
      </c>
      <c r="E31" s="268"/>
      <c r="F31" s="66"/>
      <c r="H31" s="194"/>
    </row>
    <row r="32" spans="1:14" x14ac:dyDescent="0.3">
      <c r="A32" s="3"/>
      <c r="B32" s="68" t="s">
        <v>25</v>
      </c>
      <c r="C32" s="27">
        <v>6923.87</v>
      </c>
      <c r="D32" s="127">
        <v>8354.25</v>
      </c>
      <c r="E32" s="269"/>
      <c r="F32" s="66"/>
    </row>
    <row r="33" spans="1:10" x14ac:dyDescent="0.3">
      <c r="A33" s="3"/>
      <c r="B33" s="253" t="s">
        <v>191</v>
      </c>
      <c r="C33" s="270"/>
      <c r="D33" s="270"/>
      <c r="E33" s="254"/>
      <c r="F33" s="66"/>
    </row>
    <row r="34" spans="1:10" x14ac:dyDescent="0.3">
      <c r="A34" s="3"/>
      <c r="B34" s="10"/>
      <c r="C34" s="66"/>
      <c r="D34" s="66"/>
      <c r="E34" s="66"/>
      <c r="F34" s="66"/>
    </row>
    <row r="35" spans="1:10" x14ac:dyDescent="0.3">
      <c r="A35" s="3">
        <v>7</v>
      </c>
      <c r="B35" s="261" t="s">
        <v>26</v>
      </c>
      <c r="C35" s="262"/>
      <c r="D35" s="262"/>
      <c r="E35" s="263"/>
      <c r="F35" s="2"/>
      <c r="G35" s="2"/>
      <c r="H35" s="2"/>
      <c r="I35" s="2"/>
      <c r="J35" s="2"/>
    </row>
    <row r="36" spans="1:10" x14ac:dyDescent="0.3">
      <c r="A36" s="3"/>
      <c r="B36" s="67" t="s">
        <v>247</v>
      </c>
      <c r="C36" s="27" t="s">
        <v>93</v>
      </c>
      <c r="D36" s="5"/>
      <c r="E36" s="5"/>
      <c r="F36" s="10"/>
    </row>
    <row r="37" spans="1:10" x14ac:dyDescent="0.3">
      <c r="A37" s="3"/>
      <c r="B37" s="67" t="s">
        <v>28</v>
      </c>
      <c r="C37" s="27" t="s">
        <v>93</v>
      </c>
      <c r="D37" s="10"/>
      <c r="E37" s="10"/>
      <c r="F37" s="10"/>
    </row>
    <row r="38" spans="1:10" x14ac:dyDescent="0.3">
      <c r="A38" s="3"/>
      <c r="B38" s="67" t="s">
        <v>29</v>
      </c>
      <c r="C38" s="27" t="s">
        <v>15</v>
      </c>
      <c r="D38" s="10"/>
      <c r="E38" s="10"/>
      <c r="F38" s="10"/>
    </row>
    <row r="39" spans="1:10" x14ac:dyDescent="0.3">
      <c r="A39" s="3"/>
      <c r="B39" s="271" t="s">
        <v>597</v>
      </c>
      <c r="C39" s="271"/>
      <c r="D39" s="271"/>
      <c r="E39" s="10"/>
      <c r="F39" s="10"/>
    </row>
    <row r="40" spans="1:10" x14ac:dyDescent="0.3">
      <c r="A40" s="3"/>
      <c r="B40" s="66"/>
      <c r="C40" s="10"/>
      <c r="D40" s="10"/>
      <c r="E40" s="10"/>
      <c r="F40" s="10"/>
    </row>
    <row r="41" spans="1:10" x14ac:dyDescent="0.3">
      <c r="A41" s="3">
        <v>8</v>
      </c>
      <c r="B41" s="261" t="s">
        <v>30</v>
      </c>
      <c r="C41" s="262"/>
      <c r="D41" s="262"/>
      <c r="E41" s="263"/>
      <c r="F41" s="2"/>
      <c r="G41" s="2"/>
      <c r="H41" s="2"/>
      <c r="I41" s="2"/>
      <c r="J41" s="2"/>
    </row>
    <row r="42" spans="1:10" x14ac:dyDescent="0.3">
      <c r="A42" s="3"/>
      <c r="B42" s="67" t="s">
        <v>31</v>
      </c>
      <c r="C42" s="258" t="s">
        <v>85</v>
      </c>
      <c r="D42" s="259"/>
      <c r="E42" s="260"/>
      <c r="F42" s="10"/>
    </row>
    <row r="43" spans="1:10" x14ac:dyDescent="0.3">
      <c r="A43" s="3"/>
      <c r="B43" s="67" t="s">
        <v>28</v>
      </c>
      <c r="C43" s="258" t="s">
        <v>934</v>
      </c>
      <c r="D43" s="259"/>
      <c r="E43" s="260"/>
      <c r="F43" s="10"/>
    </row>
    <row r="44" spans="1:10" x14ac:dyDescent="0.3">
      <c r="A44" s="3"/>
      <c r="B44" s="67" t="s">
        <v>29</v>
      </c>
      <c r="C44" s="258" t="s">
        <v>15</v>
      </c>
      <c r="D44" s="259"/>
      <c r="E44" s="260"/>
      <c r="F44" s="10"/>
    </row>
    <row r="45" spans="1:10" x14ac:dyDescent="0.3">
      <c r="A45" s="3"/>
      <c r="B45" s="253" t="s">
        <v>198</v>
      </c>
      <c r="C45" s="270"/>
      <c r="D45" s="270"/>
      <c r="E45" s="254"/>
      <c r="F45" s="10"/>
    </row>
    <row r="46" spans="1:10" x14ac:dyDescent="0.3">
      <c r="A46" s="3"/>
      <c r="D46" s="22"/>
      <c r="E46" s="10"/>
    </row>
    <row r="47" spans="1:10" x14ac:dyDescent="0.3">
      <c r="A47" s="191">
        <v>9</v>
      </c>
      <c r="B47" s="262" t="s">
        <v>32</v>
      </c>
      <c r="C47" s="262"/>
      <c r="D47" s="262"/>
      <c r="E47" s="263"/>
      <c r="F47" s="2"/>
      <c r="G47" s="2"/>
      <c r="H47" s="2"/>
      <c r="I47" s="2"/>
    </row>
    <row r="48" spans="1:10" ht="81.599999999999994" x14ac:dyDescent="0.3">
      <c r="A48" s="191"/>
      <c r="B48" s="24" t="s">
        <v>33</v>
      </c>
      <c r="C48" s="25" t="s">
        <v>34</v>
      </c>
      <c r="D48" s="25" t="s">
        <v>96</v>
      </c>
      <c r="E48" s="25" t="s">
        <v>35</v>
      </c>
    </row>
    <row r="49" spans="1:16" ht="84" x14ac:dyDescent="0.3">
      <c r="A49" s="191"/>
      <c r="B49" s="189" t="s">
        <v>770</v>
      </c>
      <c r="C49" s="27" t="s">
        <v>769</v>
      </c>
      <c r="D49" s="27" t="s">
        <v>935</v>
      </c>
      <c r="E49" s="27" t="s">
        <v>121</v>
      </c>
    </row>
    <row r="50" spans="1:16" x14ac:dyDescent="0.3">
      <c r="A50" s="191"/>
      <c r="B50" s="270"/>
      <c r="C50" s="270"/>
      <c r="D50" s="270"/>
      <c r="E50" s="254"/>
    </row>
    <row r="51" spans="1:16" x14ac:dyDescent="0.3">
      <c r="A51" s="191"/>
      <c r="B51" s="103" t="s">
        <v>936</v>
      </c>
      <c r="C51" s="87"/>
      <c r="D51" s="87"/>
      <c r="E51" s="87"/>
    </row>
    <row r="52" spans="1:16" x14ac:dyDescent="0.3">
      <c r="A52" s="191"/>
      <c r="B52" s="28"/>
      <c r="C52" s="22"/>
      <c r="D52" s="22"/>
      <c r="E52" s="22"/>
      <c r="F52" s="66"/>
      <c r="G52" s="66"/>
      <c r="H52" s="66"/>
      <c r="I52" s="66"/>
    </row>
    <row r="53" spans="1:16" x14ac:dyDescent="0.3">
      <c r="A53" s="191">
        <v>10</v>
      </c>
      <c r="B53" s="262" t="s">
        <v>32</v>
      </c>
      <c r="C53" s="262"/>
      <c r="D53" s="262"/>
      <c r="E53" s="263"/>
      <c r="F53" s="66"/>
      <c r="G53" s="66"/>
      <c r="H53" s="66"/>
    </row>
    <row r="54" spans="1:16" ht="53.25" customHeight="1" x14ac:dyDescent="0.3">
      <c r="A54" s="191"/>
      <c r="B54" s="275" t="s">
        <v>36</v>
      </c>
      <c r="C54" s="277" t="s">
        <v>769</v>
      </c>
      <c r="D54" s="278"/>
      <c r="E54" s="279"/>
      <c r="K54" s="2"/>
    </row>
    <row r="55" spans="1:16" x14ac:dyDescent="0.3">
      <c r="A55" s="191"/>
      <c r="B55" s="276"/>
      <c r="C55" s="280"/>
      <c r="D55" s="281"/>
      <c r="E55" s="282"/>
      <c r="K55" s="2"/>
    </row>
    <row r="56" spans="1:16" ht="88.95" customHeight="1" x14ac:dyDescent="0.3">
      <c r="A56" s="191"/>
      <c r="B56" s="29" t="s">
        <v>37</v>
      </c>
      <c r="C56" s="283" t="s">
        <v>935</v>
      </c>
      <c r="D56" s="284"/>
      <c r="E56" s="285"/>
    </row>
    <row r="57" spans="1:16" x14ac:dyDescent="0.3">
      <c r="A57" s="191"/>
      <c r="B57" s="29" t="s">
        <v>38</v>
      </c>
      <c r="C57" s="286" t="s">
        <v>121</v>
      </c>
      <c r="D57" s="287"/>
      <c r="E57" s="288"/>
      <c r="K57" s="30"/>
    </row>
    <row r="58" spans="1:16" x14ac:dyDescent="0.4">
      <c r="A58" s="111" t="s">
        <v>39</v>
      </c>
      <c r="B58" s="290" t="s">
        <v>937</v>
      </c>
      <c r="C58" s="290"/>
      <c r="D58" s="290"/>
      <c r="E58" s="291"/>
      <c r="F58" s="32"/>
      <c r="G58" s="32"/>
      <c r="H58" s="32"/>
      <c r="I58" s="32"/>
      <c r="J58" s="32"/>
      <c r="K58" s="32"/>
      <c r="L58" s="32"/>
      <c r="M58" s="32"/>
      <c r="N58" s="32"/>
      <c r="O58" s="32"/>
      <c r="P58" s="32"/>
    </row>
    <row r="59" spans="1:16" x14ac:dyDescent="0.3">
      <c r="A59" s="71"/>
      <c r="B59" s="72"/>
      <c r="C59" s="73"/>
      <c r="D59" s="73"/>
      <c r="E59" s="73"/>
      <c r="F59" s="73"/>
    </row>
    <row r="60" spans="1:16" x14ac:dyDescent="0.3">
      <c r="A60" s="3">
        <v>11</v>
      </c>
      <c r="B60" s="54" t="s">
        <v>41</v>
      </c>
      <c r="C60" s="270" t="s">
        <v>121</v>
      </c>
      <c r="D60" s="270"/>
      <c r="E60" s="270"/>
      <c r="F60" s="2"/>
      <c r="G60" s="2"/>
      <c r="H60" s="74"/>
      <c r="I60" s="2"/>
      <c r="J60" s="2"/>
    </row>
    <row r="61" spans="1:16" x14ac:dyDescent="0.3">
      <c r="A61" s="3"/>
      <c r="B61" s="66"/>
      <c r="C61" s="270"/>
      <c r="D61" s="270"/>
      <c r="E61" s="270"/>
      <c r="F61" s="66"/>
      <c r="G61" s="66"/>
      <c r="H61" s="75"/>
      <c r="I61" s="75"/>
      <c r="J61" s="66"/>
    </row>
    <row r="62" spans="1:16" x14ac:dyDescent="0.3">
      <c r="A62" s="76">
        <v>12</v>
      </c>
      <c r="B62" s="77" t="s">
        <v>42</v>
      </c>
      <c r="C62" s="272"/>
      <c r="D62" s="273"/>
      <c r="E62" s="274"/>
      <c r="F62" s="78"/>
      <c r="G62" s="79"/>
      <c r="H62" s="79"/>
      <c r="I62" s="79"/>
      <c r="J62" s="79"/>
      <c r="K62" s="79"/>
      <c r="L62" s="79"/>
      <c r="M62" s="79"/>
      <c r="N62" s="79"/>
      <c r="O62" s="42"/>
      <c r="P62" s="42"/>
    </row>
    <row r="63" spans="1:16" x14ac:dyDescent="0.3">
      <c r="A63" s="3"/>
      <c r="B63" s="2"/>
      <c r="C63" s="2"/>
      <c r="D63" s="2"/>
      <c r="E63" s="74"/>
      <c r="F63" s="74"/>
      <c r="G63" s="74"/>
      <c r="H63" s="2"/>
      <c r="I63" s="2"/>
      <c r="J63" s="2"/>
      <c r="K63" s="2"/>
      <c r="L63" s="2"/>
      <c r="M63" s="2"/>
      <c r="N63" s="2"/>
    </row>
    <row r="64" spans="1:16" x14ac:dyDescent="0.3">
      <c r="A64" s="3"/>
      <c r="B64" s="67" t="s">
        <v>43</v>
      </c>
      <c r="C64" s="68" t="s">
        <v>596</v>
      </c>
      <c r="D64" s="66"/>
      <c r="E64" s="66"/>
      <c r="F64" s="75"/>
      <c r="G64" s="75"/>
      <c r="H64" s="66"/>
      <c r="I64" s="66"/>
      <c r="J64" s="66"/>
      <c r="K64" s="66"/>
      <c r="L64" s="66"/>
      <c r="M64" s="66"/>
      <c r="N64" s="66"/>
    </row>
    <row r="65" spans="1:14" x14ac:dyDescent="0.3">
      <c r="A65" s="3"/>
      <c r="B65" s="66"/>
      <c r="C65" s="66"/>
      <c r="D65" s="66"/>
      <c r="E65" s="66"/>
      <c r="F65" s="66"/>
      <c r="G65" s="66"/>
      <c r="H65" s="66"/>
      <c r="I65" s="66"/>
      <c r="J65" s="66"/>
      <c r="K65" s="66"/>
      <c r="L65" s="66"/>
      <c r="M65" s="66"/>
      <c r="N65" s="66"/>
    </row>
    <row r="66" spans="1:14" ht="75.599999999999994" customHeight="1" x14ac:dyDescent="0.3">
      <c r="A66" s="3"/>
      <c r="B66" s="295" t="s">
        <v>44</v>
      </c>
      <c r="C66" s="295" t="s">
        <v>598</v>
      </c>
      <c r="D66" s="295" t="s">
        <v>68</v>
      </c>
      <c r="E66" s="297" t="s">
        <v>45</v>
      </c>
      <c r="F66" s="292" t="s">
        <v>480</v>
      </c>
      <c r="G66" s="293"/>
      <c r="H66" s="294"/>
      <c r="I66" s="292" t="s">
        <v>481</v>
      </c>
      <c r="J66" s="293"/>
      <c r="K66" s="294"/>
      <c r="L66" s="292" t="s">
        <v>482</v>
      </c>
      <c r="M66" s="293"/>
      <c r="N66" s="294"/>
    </row>
    <row r="67" spans="1:14" ht="81.599999999999994" x14ac:dyDescent="0.3">
      <c r="A67" s="3"/>
      <c r="B67" s="296"/>
      <c r="C67" s="296"/>
      <c r="D67" s="296"/>
      <c r="E67" s="298"/>
      <c r="F67" s="67" t="s">
        <v>46</v>
      </c>
      <c r="G67" s="67" t="s">
        <v>47</v>
      </c>
      <c r="H67" s="67" t="s">
        <v>48</v>
      </c>
      <c r="I67" s="67" t="s">
        <v>49</v>
      </c>
      <c r="J67" s="67" t="s">
        <v>47</v>
      </c>
      <c r="K67" s="67" t="s">
        <v>48</v>
      </c>
      <c r="L67" s="67" t="s">
        <v>49</v>
      </c>
      <c r="M67" s="67" t="s">
        <v>47</v>
      </c>
      <c r="N67" s="67" t="s">
        <v>48</v>
      </c>
    </row>
    <row r="68" spans="1:14" ht="21" customHeight="1" x14ac:dyDescent="0.3">
      <c r="A68" s="3"/>
      <c r="B68" s="67" t="s">
        <v>66</v>
      </c>
      <c r="C68" s="82">
        <v>490.35</v>
      </c>
      <c r="D68" s="82">
        <v>613.54999999999995</v>
      </c>
      <c r="E68" s="82">
        <v>862.9</v>
      </c>
      <c r="F68" s="121">
        <v>862.9</v>
      </c>
      <c r="G68" s="121">
        <v>989.7</v>
      </c>
      <c r="H68" s="121">
        <v>461.7</v>
      </c>
      <c r="I68" s="121">
        <v>749</v>
      </c>
      <c r="J68" s="121">
        <v>1029.3</v>
      </c>
      <c r="K68" s="121">
        <v>565</v>
      </c>
      <c r="L68" s="345" t="s">
        <v>108</v>
      </c>
      <c r="M68" s="346"/>
      <c r="N68" s="347"/>
    </row>
    <row r="69" spans="1:14" ht="40.799999999999997" x14ac:dyDescent="0.3">
      <c r="A69" s="3"/>
      <c r="B69" s="69" t="s">
        <v>599</v>
      </c>
      <c r="C69" s="82">
        <v>24795.75</v>
      </c>
      <c r="D69" s="82">
        <v>24213.3</v>
      </c>
      <c r="E69" s="82">
        <v>23616.05</v>
      </c>
      <c r="F69" s="121">
        <v>23519.35</v>
      </c>
      <c r="G69" s="121">
        <v>26277.35</v>
      </c>
      <c r="H69" s="121">
        <v>21281.45</v>
      </c>
      <c r="I69" s="121">
        <v>22331.4</v>
      </c>
      <c r="J69" s="121">
        <v>26373.200000000001</v>
      </c>
      <c r="K69" s="121">
        <v>21743.65</v>
      </c>
      <c r="L69" s="348"/>
      <c r="M69" s="349"/>
      <c r="N69" s="350"/>
    </row>
    <row r="70" spans="1:14" x14ac:dyDescent="0.3">
      <c r="A70" s="3"/>
      <c r="B70" s="253" t="s">
        <v>600</v>
      </c>
      <c r="C70" s="270"/>
      <c r="D70" s="270"/>
      <c r="E70" s="270"/>
      <c r="F70" s="270"/>
      <c r="G70" s="270"/>
      <c r="H70" s="270"/>
      <c r="I70" s="270"/>
      <c r="J70" s="270"/>
      <c r="K70" s="270"/>
      <c r="L70" s="270"/>
      <c r="M70" s="270"/>
      <c r="N70" s="254"/>
    </row>
    <row r="71" spans="1:14" x14ac:dyDescent="0.3">
      <c r="A71" s="3"/>
      <c r="B71" s="253" t="s">
        <v>84</v>
      </c>
      <c r="C71" s="270"/>
      <c r="D71" s="270"/>
      <c r="E71" s="270"/>
      <c r="F71" s="254"/>
      <c r="G71" s="83"/>
      <c r="H71" s="83"/>
      <c r="I71" s="83"/>
      <c r="J71" s="83"/>
      <c r="K71" s="83"/>
      <c r="L71" s="83"/>
      <c r="M71" s="83"/>
      <c r="N71" s="83"/>
    </row>
    <row r="72" spans="1:14" x14ac:dyDescent="0.3">
      <c r="A72" s="3"/>
      <c r="B72" s="253" t="s">
        <v>70</v>
      </c>
      <c r="C72" s="270"/>
      <c r="D72" s="270"/>
      <c r="E72" s="270"/>
      <c r="F72" s="254"/>
      <c r="G72" s="83"/>
      <c r="H72" s="83"/>
      <c r="I72" s="83"/>
      <c r="J72" s="83"/>
      <c r="K72" s="83"/>
      <c r="L72" s="83"/>
      <c r="M72" s="83"/>
      <c r="N72" s="83"/>
    </row>
    <row r="73" spans="1:14" x14ac:dyDescent="0.3">
      <c r="A73" s="3"/>
      <c r="B73" s="253" t="s">
        <v>71</v>
      </c>
      <c r="C73" s="270"/>
      <c r="D73" s="270"/>
      <c r="E73" s="270"/>
      <c r="F73" s="254"/>
      <c r="G73" s="83"/>
      <c r="H73" s="83"/>
      <c r="I73" s="83"/>
      <c r="J73" s="83"/>
      <c r="K73" s="83"/>
      <c r="L73" s="83"/>
      <c r="M73" s="83"/>
      <c r="N73" s="83"/>
    </row>
    <row r="74" spans="1:14" x14ac:dyDescent="0.3">
      <c r="A74" s="3"/>
      <c r="B74" s="270" t="s">
        <v>641</v>
      </c>
      <c r="C74" s="270"/>
      <c r="D74" s="84"/>
      <c r="E74" s="84"/>
      <c r="F74" s="84"/>
      <c r="G74" s="10"/>
      <c r="H74" s="10"/>
      <c r="I74" s="10"/>
      <c r="J74" s="10"/>
      <c r="K74" s="10"/>
      <c r="L74" s="10"/>
      <c r="M74" s="10"/>
      <c r="N74" s="10"/>
    </row>
    <row r="75" spans="1:14" x14ac:dyDescent="0.3">
      <c r="A75" s="3">
        <v>13</v>
      </c>
      <c r="B75" s="261" t="s">
        <v>51</v>
      </c>
      <c r="C75" s="262"/>
      <c r="D75" s="262"/>
      <c r="E75" s="262"/>
      <c r="F75" s="262"/>
      <c r="G75" s="263"/>
      <c r="H75" s="2"/>
      <c r="I75" s="2"/>
      <c r="J75" s="2"/>
      <c r="K75" s="2"/>
      <c r="L75" s="2"/>
      <c r="M75" s="2"/>
      <c r="N75" s="2"/>
    </row>
    <row r="76" spans="1:14" x14ac:dyDescent="0.3">
      <c r="A76" s="3"/>
      <c r="C76" s="66"/>
      <c r="D76" s="66"/>
      <c r="E76" s="66"/>
      <c r="F76" s="66"/>
      <c r="G76" s="66"/>
      <c r="H76" s="66"/>
      <c r="I76" s="66"/>
      <c r="J76" s="66"/>
      <c r="K76" s="66"/>
      <c r="L76" s="66"/>
      <c r="M76" s="66"/>
      <c r="N76" s="66"/>
    </row>
    <row r="77" spans="1:14" ht="61.2" x14ac:dyDescent="0.3">
      <c r="A77" s="3"/>
      <c r="B77" s="25" t="s">
        <v>52</v>
      </c>
      <c r="C77" s="25" t="s">
        <v>53</v>
      </c>
      <c r="D77" s="25" t="s">
        <v>603</v>
      </c>
      <c r="E77" s="25" t="s">
        <v>54</v>
      </c>
      <c r="F77" s="25" t="s">
        <v>55</v>
      </c>
      <c r="G77" s="25" t="s">
        <v>56</v>
      </c>
      <c r="H77" s="10"/>
      <c r="I77" s="10"/>
      <c r="J77" s="10"/>
      <c r="K77" s="10"/>
      <c r="L77" s="10"/>
      <c r="M77" s="10"/>
      <c r="N77" s="10"/>
    </row>
    <row r="78" spans="1:14" x14ac:dyDescent="0.3">
      <c r="A78" s="3"/>
      <c r="B78" s="297" t="s">
        <v>72</v>
      </c>
      <c r="C78" s="54" t="s">
        <v>601</v>
      </c>
      <c r="D78" s="151">
        <v>47.36</v>
      </c>
      <c r="E78" s="90">
        <v>45.9</v>
      </c>
      <c r="F78" s="90">
        <v>51.5</v>
      </c>
      <c r="G78" s="311" t="s">
        <v>83</v>
      </c>
    </row>
    <row r="79" spans="1:14" x14ac:dyDescent="0.3">
      <c r="A79" s="3"/>
      <c r="B79" s="309"/>
      <c r="C79" s="54" t="s">
        <v>237</v>
      </c>
      <c r="D79" s="135"/>
      <c r="E79" s="88"/>
      <c r="F79" s="88"/>
      <c r="G79" s="311"/>
    </row>
    <row r="80" spans="1:14" x14ac:dyDescent="0.3">
      <c r="A80" s="3"/>
      <c r="B80" s="309"/>
      <c r="C80" s="5" t="s">
        <v>602</v>
      </c>
      <c r="D80" s="135">
        <v>10.56</v>
      </c>
      <c r="E80" s="88">
        <v>2.87</v>
      </c>
      <c r="F80" s="88">
        <v>0.14000000000000001</v>
      </c>
      <c r="G80" s="311"/>
    </row>
    <row r="81" spans="1:16" x14ac:dyDescent="0.3">
      <c r="A81" s="3"/>
      <c r="B81" s="298"/>
      <c r="C81" s="54"/>
      <c r="D81" s="140"/>
      <c r="E81" s="88"/>
      <c r="F81" s="88"/>
      <c r="G81" s="311"/>
    </row>
    <row r="82" spans="1:16" x14ac:dyDescent="0.3">
      <c r="A82" s="3"/>
      <c r="B82" s="297" t="s">
        <v>59</v>
      </c>
      <c r="C82" s="54" t="s">
        <v>601</v>
      </c>
      <c r="D82" s="141">
        <v>9.67</v>
      </c>
      <c r="E82" s="90">
        <f>F68/E78</f>
        <v>18.799564270152505</v>
      </c>
      <c r="F82" s="90">
        <f>I68/F78</f>
        <v>14.543689320388349</v>
      </c>
      <c r="G82" s="311"/>
    </row>
    <row r="83" spans="1:16" x14ac:dyDescent="0.3">
      <c r="A83" s="3"/>
      <c r="B83" s="309"/>
      <c r="C83" s="54" t="s">
        <v>237</v>
      </c>
      <c r="D83" s="135"/>
      <c r="E83" s="88"/>
      <c r="F83" s="88"/>
      <c r="G83" s="311"/>
    </row>
    <row r="84" spans="1:16" x14ac:dyDescent="0.3">
      <c r="A84" s="3"/>
      <c r="B84" s="309"/>
      <c r="C84" s="5" t="s">
        <v>602</v>
      </c>
      <c r="D84" s="135">
        <v>10.64</v>
      </c>
      <c r="E84" s="90">
        <f>53.45/E80</f>
        <v>18.623693379790939</v>
      </c>
      <c r="F84" s="90">
        <f>45.38/F80</f>
        <v>324.14285714285711</v>
      </c>
      <c r="G84" s="311"/>
    </row>
    <row r="85" spans="1:16" x14ac:dyDescent="0.3">
      <c r="A85" s="3"/>
      <c r="B85" s="298"/>
      <c r="C85" s="54"/>
      <c r="D85" s="140"/>
      <c r="E85" s="88"/>
      <c r="F85" s="88"/>
      <c r="G85" s="311"/>
    </row>
    <row r="86" spans="1:16" x14ac:dyDescent="0.3">
      <c r="A86" s="3"/>
      <c r="B86" s="297" t="s">
        <v>60</v>
      </c>
      <c r="C86" s="54" t="s">
        <v>601</v>
      </c>
      <c r="D86" s="142">
        <v>0.30690000000000001</v>
      </c>
      <c r="E86" s="110">
        <v>0.15340000000000001</v>
      </c>
      <c r="F86" s="110">
        <v>0.16569999999999999</v>
      </c>
      <c r="G86" s="311"/>
    </row>
    <row r="87" spans="1:16" x14ac:dyDescent="0.3">
      <c r="A87" s="3"/>
      <c r="B87" s="309"/>
      <c r="C87" s="54" t="s">
        <v>237</v>
      </c>
      <c r="D87" s="5"/>
      <c r="E87" s="88"/>
      <c r="F87" s="88"/>
      <c r="G87" s="311"/>
    </row>
    <row r="88" spans="1:16" x14ac:dyDescent="0.3">
      <c r="A88" s="3"/>
      <c r="B88" s="309"/>
      <c r="C88" s="5" t="s">
        <v>602</v>
      </c>
      <c r="D88" s="126">
        <v>9.9299999999999999E-2</v>
      </c>
      <c r="E88" s="110">
        <v>2.6599999999999999E-2</v>
      </c>
      <c r="F88" s="110">
        <v>1.2999999999999999E-3</v>
      </c>
      <c r="G88" s="311"/>
    </row>
    <row r="89" spans="1:16" x14ac:dyDescent="0.3">
      <c r="A89" s="3"/>
      <c r="B89" s="298"/>
      <c r="C89" s="54"/>
      <c r="D89" s="140"/>
      <c r="E89" s="88"/>
      <c r="F89" s="88"/>
      <c r="G89" s="311"/>
    </row>
    <row r="90" spans="1:16" x14ac:dyDescent="0.3">
      <c r="A90" s="3"/>
      <c r="B90" s="310" t="s">
        <v>61</v>
      </c>
      <c r="C90" s="54" t="s">
        <v>601</v>
      </c>
      <c r="D90" s="135">
        <v>149.6</v>
      </c>
      <c r="E90" s="88">
        <v>259.33999999999997</v>
      </c>
      <c r="F90" s="88">
        <v>310.85000000000002</v>
      </c>
      <c r="G90" s="311"/>
    </row>
    <row r="91" spans="1:16" x14ac:dyDescent="0.3">
      <c r="A91" s="3"/>
      <c r="B91" s="310"/>
      <c r="C91" s="54" t="s">
        <v>237</v>
      </c>
      <c r="D91" s="135"/>
      <c r="E91" s="88"/>
      <c r="F91" s="88"/>
      <c r="G91" s="311"/>
    </row>
    <row r="92" spans="1:16" x14ac:dyDescent="0.3">
      <c r="A92" s="3"/>
      <c r="B92" s="310"/>
      <c r="C92" s="5" t="s">
        <v>602</v>
      </c>
      <c r="D92" s="135">
        <v>106.42</v>
      </c>
      <c r="E92" s="88">
        <v>107.69</v>
      </c>
      <c r="F92" s="88">
        <v>106.23</v>
      </c>
      <c r="G92" s="311"/>
    </row>
    <row r="93" spans="1:16" x14ac:dyDescent="0.35">
      <c r="A93" s="3"/>
      <c r="B93" s="310"/>
      <c r="C93" s="54"/>
      <c r="D93" s="144"/>
      <c r="E93" s="88"/>
      <c r="F93" s="88"/>
      <c r="G93" s="311"/>
    </row>
    <row r="94" spans="1:16" x14ac:dyDescent="0.3">
      <c r="A94" s="3"/>
      <c r="B94" s="301"/>
      <c r="C94" s="302"/>
      <c r="D94" s="302"/>
      <c r="E94" s="302"/>
      <c r="F94" s="302"/>
      <c r="G94" s="303"/>
    </row>
    <row r="95" spans="1:16" x14ac:dyDescent="0.3">
      <c r="A95" s="2"/>
      <c r="B95" s="253" t="s">
        <v>82</v>
      </c>
      <c r="C95" s="270"/>
      <c r="D95" s="270"/>
      <c r="E95" s="270"/>
      <c r="F95" s="270"/>
      <c r="G95" s="254"/>
      <c r="H95" s="2"/>
      <c r="I95" s="2"/>
      <c r="J95" s="2"/>
      <c r="K95" s="2"/>
      <c r="L95" s="2"/>
      <c r="M95" s="2"/>
      <c r="N95" s="2"/>
      <c r="O95" s="2"/>
      <c r="P95" s="2"/>
    </row>
    <row r="96" spans="1:16" x14ac:dyDescent="0.3">
      <c r="A96" s="3"/>
      <c r="B96" s="304" t="s">
        <v>604</v>
      </c>
      <c r="C96" s="242"/>
      <c r="D96" s="242"/>
      <c r="E96" s="242"/>
      <c r="F96" s="242"/>
      <c r="G96" s="305"/>
    </row>
    <row r="97" spans="1:8" x14ac:dyDescent="0.3">
      <c r="A97" s="3"/>
      <c r="B97" s="248"/>
      <c r="C97" s="248"/>
      <c r="D97" s="248"/>
      <c r="E97" s="55"/>
      <c r="F97" s="55"/>
      <c r="G97" s="55"/>
    </row>
    <row r="98" spans="1:8" x14ac:dyDescent="0.3">
      <c r="C98" s="306"/>
      <c r="D98" s="306"/>
      <c r="E98" s="306"/>
      <c r="F98" s="306"/>
      <c r="G98" s="306"/>
    </row>
    <row r="99" spans="1:8" x14ac:dyDescent="0.3">
      <c r="A99" s="3">
        <v>14</v>
      </c>
      <c r="B99" s="54" t="s">
        <v>63</v>
      </c>
      <c r="C99" s="307" t="s">
        <v>50</v>
      </c>
      <c r="D99" s="308"/>
      <c r="E99" s="308"/>
      <c r="F99" s="308"/>
      <c r="G99" s="249"/>
    </row>
    <row r="100" spans="1:8" x14ac:dyDescent="0.3">
      <c r="C100" s="55"/>
      <c r="D100" s="55"/>
      <c r="E100" s="55"/>
      <c r="F100" s="55"/>
      <c r="G100" s="55"/>
    </row>
    <row r="101" spans="1:8" x14ac:dyDescent="0.3">
      <c r="B101" s="299" t="s">
        <v>605</v>
      </c>
      <c r="C101" s="299"/>
      <c r="D101" s="299"/>
      <c r="E101" s="299"/>
      <c r="F101" s="299"/>
      <c r="G101" s="299"/>
      <c r="H101" s="299"/>
    </row>
    <row r="106" spans="1:8" x14ac:dyDescent="0.3">
      <c r="D106" s="56"/>
      <c r="E106" s="56"/>
    </row>
    <row r="107" spans="1:8" x14ac:dyDescent="0.3">
      <c r="E107" s="56"/>
    </row>
  </sheetData>
  <mergeCells count="64">
    <mergeCell ref="C20:E20"/>
    <mergeCell ref="A1:B1"/>
    <mergeCell ref="C3:E3"/>
    <mergeCell ref="C5:E5"/>
    <mergeCell ref="B6:D6"/>
    <mergeCell ref="B9:D9"/>
    <mergeCell ref="C11:E11"/>
    <mergeCell ref="B12:D12"/>
    <mergeCell ref="C14:E14"/>
    <mergeCell ref="B15:D15"/>
    <mergeCell ref="B17:C17"/>
    <mergeCell ref="B19:E19"/>
    <mergeCell ref="B39:D39"/>
    <mergeCell ref="C21:E21"/>
    <mergeCell ref="C22:E22"/>
    <mergeCell ref="C23:E23"/>
    <mergeCell ref="C24:E24"/>
    <mergeCell ref="B26:E26"/>
    <mergeCell ref="B27:E27"/>
    <mergeCell ref="E29:E32"/>
    <mergeCell ref="B33:E33"/>
    <mergeCell ref="B35:E35"/>
    <mergeCell ref="C57:E57"/>
    <mergeCell ref="B41:E41"/>
    <mergeCell ref="C42:E42"/>
    <mergeCell ref="C43:E43"/>
    <mergeCell ref="C44:E44"/>
    <mergeCell ref="B45:E45"/>
    <mergeCell ref="B47:E47"/>
    <mergeCell ref="B50:E50"/>
    <mergeCell ref="B53:E53"/>
    <mergeCell ref="B54:B55"/>
    <mergeCell ref="C54:E55"/>
    <mergeCell ref="C56:E56"/>
    <mergeCell ref="B58:E58"/>
    <mergeCell ref="C60:E60"/>
    <mergeCell ref="C61:E61"/>
    <mergeCell ref="C62:E62"/>
    <mergeCell ref="B66:B67"/>
    <mergeCell ref="C66:C67"/>
    <mergeCell ref="D66:D67"/>
    <mergeCell ref="E66:E67"/>
    <mergeCell ref="B78:B81"/>
    <mergeCell ref="G78:G93"/>
    <mergeCell ref="B82:B85"/>
    <mergeCell ref="F66:H66"/>
    <mergeCell ref="B70:N70"/>
    <mergeCell ref="B71:F71"/>
    <mergeCell ref="B72:F72"/>
    <mergeCell ref="B73:F73"/>
    <mergeCell ref="B75:G75"/>
    <mergeCell ref="I66:K66"/>
    <mergeCell ref="L66:N66"/>
    <mergeCell ref="L68:N69"/>
    <mergeCell ref="B74:C74"/>
    <mergeCell ref="C98:G98"/>
    <mergeCell ref="C99:G99"/>
    <mergeCell ref="B101:H101"/>
    <mergeCell ref="B86:B89"/>
    <mergeCell ref="B90:B93"/>
    <mergeCell ref="B94:G94"/>
    <mergeCell ref="B95:G95"/>
    <mergeCell ref="B96:G96"/>
    <mergeCell ref="B97:D97"/>
  </mergeCells>
  <pageMargins left="0.7" right="0.7" top="0.75" bottom="0.75" header="0.3" footer="0.3"/>
  <pageSetup scale="24" orientation="landscape" horizontalDpi="1200" verticalDpi="1200" r:id="rId1"/>
  <rowBreaks count="1" manualBreakCount="1">
    <brk id="6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24"/>
  <sheetViews>
    <sheetView view="pageBreakPreview" topLeftCell="A9" zoomScale="60" zoomScaleNormal="68" workbookViewId="0">
      <selection activeCell="C124" sqref="C124"/>
    </sheetView>
  </sheetViews>
  <sheetFormatPr defaultColWidth="8.6640625" defaultRowHeight="21" x14ac:dyDescent="0.3"/>
  <cols>
    <col min="1" max="1" width="8.6640625" style="1"/>
    <col min="2" max="2" width="52.33203125" style="1" customWidth="1"/>
    <col min="3" max="3" width="75.5546875" style="1" customWidth="1"/>
    <col min="4" max="4" width="74.33203125" style="1" customWidth="1"/>
    <col min="5" max="5" width="22.33203125" style="1" customWidth="1"/>
    <col min="6" max="6" width="24.33203125" style="1" customWidth="1"/>
    <col min="7" max="7" width="38.109375" style="1" customWidth="1"/>
    <col min="8" max="8" width="22.6640625" style="1" customWidth="1"/>
    <col min="9" max="9" width="12.33203125" style="1" customWidth="1"/>
    <col min="10" max="10" width="19.5546875" style="1" customWidth="1"/>
    <col min="11" max="11" width="27.109375" style="1" customWidth="1"/>
    <col min="12" max="12" width="16.5546875" style="1" customWidth="1"/>
    <col min="13" max="13" width="14.6640625" style="1" customWidth="1"/>
    <col min="14" max="14" width="22.88671875" style="1" customWidth="1"/>
    <col min="15" max="16384" width="8.6640625" style="1"/>
  </cols>
  <sheetData>
    <row r="1" spans="1:5" ht="20.25" customHeight="1" x14ac:dyDescent="0.3">
      <c r="A1" s="246" t="s">
        <v>0</v>
      </c>
      <c r="B1" s="246"/>
      <c r="D1" s="2"/>
    </row>
    <row r="3" spans="1:5" ht="40.799999999999997" x14ac:dyDescent="0.3">
      <c r="A3" s="3" t="s">
        <v>1</v>
      </c>
      <c r="B3" s="54" t="s">
        <v>2</v>
      </c>
      <c r="C3" s="5" t="s">
        <v>148</v>
      </c>
    </row>
    <row r="4" spans="1:5" x14ac:dyDescent="0.3">
      <c r="D4" s="22"/>
    </row>
    <row r="5" spans="1:5" x14ac:dyDescent="0.3">
      <c r="A5" s="62">
        <v>1</v>
      </c>
      <c r="B5" s="63" t="s">
        <v>3</v>
      </c>
      <c r="C5" s="247" t="s">
        <v>774</v>
      </c>
      <c r="D5" s="248"/>
      <c r="E5" s="362"/>
    </row>
    <row r="6" spans="1:5" x14ac:dyDescent="0.3">
      <c r="A6" s="3"/>
      <c r="B6" s="250" t="s">
        <v>4</v>
      </c>
      <c r="C6" s="251"/>
      <c r="D6" s="252"/>
      <c r="E6" s="10"/>
    </row>
    <row r="7" spans="1:5" x14ac:dyDescent="0.3">
      <c r="A7" s="3"/>
      <c r="B7" s="2"/>
      <c r="D7" s="22"/>
    </row>
    <row r="8" spans="1:5" x14ac:dyDescent="0.3">
      <c r="A8" s="3">
        <v>2</v>
      </c>
      <c r="B8" s="63" t="s">
        <v>5</v>
      </c>
      <c r="C8" s="12" t="s">
        <v>149</v>
      </c>
      <c r="D8" s="22"/>
    </row>
    <row r="9" spans="1:5" x14ac:dyDescent="0.3">
      <c r="A9" s="3"/>
      <c r="B9" s="250" t="s">
        <v>4</v>
      </c>
      <c r="C9" s="251"/>
      <c r="D9" s="252"/>
    </row>
    <row r="10" spans="1:5" x14ac:dyDescent="0.3">
      <c r="A10" s="3"/>
      <c r="B10" s="2"/>
      <c r="D10" s="22"/>
    </row>
    <row r="11" spans="1:5" ht="40.950000000000003" customHeight="1" x14ac:dyDescent="0.3">
      <c r="A11" s="3">
        <v>3</v>
      </c>
      <c r="B11" s="63" t="s">
        <v>6</v>
      </c>
      <c r="C11" s="247" t="s">
        <v>102</v>
      </c>
      <c r="D11" s="248"/>
      <c r="E11" s="362"/>
    </row>
    <row r="12" spans="1:5" x14ac:dyDescent="0.3">
      <c r="A12" s="3"/>
      <c r="B12" s="250" t="s">
        <v>4</v>
      </c>
      <c r="C12" s="251"/>
      <c r="D12" s="252"/>
      <c r="E12" s="10"/>
    </row>
    <row r="13" spans="1:5" x14ac:dyDescent="0.3">
      <c r="A13" s="3"/>
      <c r="B13" s="2"/>
      <c r="D13" s="22"/>
    </row>
    <row r="14" spans="1:5" x14ac:dyDescent="0.3">
      <c r="A14" s="3">
        <v>4</v>
      </c>
      <c r="B14" s="54" t="s">
        <v>7</v>
      </c>
      <c r="C14" s="5" t="s">
        <v>150</v>
      </c>
      <c r="D14" s="22"/>
    </row>
    <row r="15" spans="1:5" x14ac:dyDescent="0.3">
      <c r="A15" s="3"/>
      <c r="B15" s="253" t="s">
        <v>8</v>
      </c>
      <c r="C15" s="254"/>
      <c r="D15" s="22"/>
    </row>
    <row r="16" spans="1:5" x14ac:dyDescent="0.3">
      <c r="A16" s="3"/>
      <c r="D16" s="22"/>
    </row>
    <row r="17" spans="1:14" x14ac:dyDescent="0.3">
      <c r="A17" s="3">
        <v>5</v>
      </c>
      <c r="B17" s="255" t="s">
        <v>9</v>
      </c>
      <c r="C17" s="256"/>
      <c r="D17" s="256"/>
      <c r="E17" s="257"/>
      <c r="F17" s="2"/>
      <c r="G17" s="2"/>
      <c r="H17" s="2"/>
      <c r="I17" s="2"/>
      <c r="J17" s="10"/>
      <c r="K17" s="10"/>
      <c r="L17" s="10"/>
      <c r="M17" s="10"/>
      <c r="N17" s="10"/>
    </row>
    <row r="18" spans="1:14" x14ac:dyDescent="0.3">
      <c r="A18" s="3"/>
      <c r="B18" s="65" t="s">
        <v>10</v>
      </c>
      <c r="C18" s="243" t="s">
        <v>11</v>
      </c>
      <c r="D18" s="244"/>
      <c r="E18" s="245"/>
      <c r="F18" s="66"/>
      <c r="G18" s="10"/>
      <c r="H18" s="10"/>
      <c r="I18" s="10"/>
      <c r="J18" s="10"/>
      <c r="K18" s="10"/>
      <c r="L18" s="10"/>
      <c r="M18" s="10"/>
      <c r="N18" s="10"/>
    </row>
    <row r="19" spans="1:14" ht="61.2" x14ac:dyDescent="0.3">
      <c r="A19" s="3"/>
      <c r="B19" s="65" t="s">
        <v>153</v>
      </c>
      <c r="C19" s="243">
        <v>1.8E-3</v>
      </c>
      <c r="D19" s="244"/>
      <c r="E19" s="245"/>
      <c r="F19" s="66"/>
      <c r="G19" s="10"/>
      <c r="I19" s="10"/>
      <c r="J19" s="10"/>
      <c r="K19" s="10"/>
      <c r="L19" s="10"/>
      <c r="M19" s="10"/>
      <c r="N19" s="10"/>
    </row>
    <row r="20" spans="1:14" x14ac:dyDescent="0.3">
      <c r="A20" s="3"/>
      <c r="B20" s="65" t="s">
        <v>12</v>
      </c>
      <c r="C20" s="243">
        <v>5.7999999999999996E-3</v>
      </c>
      <c r="D20" s="244"/>
      <c r="E20" s="245"/>
      <c r="F20" s="66"/>
      <c r="G20" s="10"/>
      <c r="H20" s="10"/>
      <c r="I20" s="10"/>
      <c r="J20" s="10"/>
      <c r="K20" s="10"/>
      <c r="L20" s="10"/>
      <c r="M20" s="10"/>
      <c r="N20" s="10"/>
    </row>
    <row r="21" spans="1:14" x14ac:dyDescent="0.3">
      <c r="A21" s="3"/>
      <c r="B21" s="64" t="s">
        <v>13</v>
      </c>
      <c r="C21" s="369">
        <v>4.0000000000000001E-3</v>
      </c>
      <c r="D21" s="370"/>
      <c r="E21" s="371"/>
      <c r="F21" s="66"/>
      <c r="G21" s="10"/>
      <c r="H21" s="10"/>
      <c r="I21" s="10"/>
      <c r="J21" s="10"/>
      <c r="K21" s="10"/>
      <c r="L21" s="10"/>
      <c r="M21" s="10"/>
      <c r="N21" s="10"/>
    </row>
    <row r="22" spans="1:14" x14ac:dyDescent="0.3">
      <c r="A22" s="3"/>
      <c r="B22" s="67" t="s">
        <v>14</v>
      </c>
      <c r="C22" s="400">
        <v>5.1999999999999998E-3</v>
      </c>
      <c r="D22" s="401"/>
      <c r="E22" s="401"/>
      <c r="F22" s="66"/>
      <c r="G22" s="10"/>
      <c r="H22" s="10"/>
      <c r="I22" s="10"/>
      <c r="J22" s="10"/>
      <c r="K22" s="10"/>
      <c r="L22" s="10"/>
      <c r="M22" s="10"/>
      <c r="N22" s="10"/>
    </row>
    <row r="23" spans="1:14" x14ac:dyDescent="0.3">
      <c r="A23" s="3"/>
      <c r="B23" s="66"/>
      <c r="C23" s="66"/>
      <c r="D23" s="66"/>
      <c r="E23" s="66"/>
      <c r="F23" s="66"/>
      <c r="G23" s="10"/>
      <c r="H23" s="10"/>
      <c r="I23" s="10"/>
      <c r="J23" s="10"/>
      <c r="K23" s="10"/>
      <c r="L23" s="10"/>
      <c r="M23" s="10"/>
      <c r="N23" s="10"/>
    </row>
    <row r="24" spans="1:14" x14ac:dyDescent="0.3">
      <c r="A24" s="3">
        <v>6</v>
      </c>
      <c r="B24" s="261" t="s">
        <v>74</v>
      </c>
      <c r="C24" s="262"/>
      <c r="D24" s="262"/>
      <c r="E24" s="263"/>
      <c r="F24" s="2"/>
      <c r="G24" s="2"/>
      <c r="H24" s="10"/>
      <c r="I24" s="2"/>
      <c r="J24" s="2"/>
    </row>
    <row r="25" spans="1:14" x14ac:dyDescent="0.3">
      <c r="A25" s="3"/>
      <c r="B25" s="264" t="s">
        <v>17</v>
      </c>
      <c r="C25" s="265"/>
      <c r="D25" s="265"/>
      <c r="E25" s="266"/>
      <c r="F25" s="66"/>
    </row>
    <row r="26" spans="1:14" x14ac:dyDescent="0.3">
      <c r="A26" s="3"/>
      <c r="B26" s="67" t="s">
        <v>18</v>
      </c>
      <c r="C26" s="25" t="s">
        <v>77</v>
      </c>
      <c r="D26" s="25" t="s">
        <v>19</v>
      </c>
      <c r="E26" s="25" t="s">
        <v>20</v>
      </c>
      <c r="F26" s="66"/>
    </row>
    <row r="27" spans="1:14" x14ac:dyDescent="0.3">
      <c r="A27" s="3"/>
      <c r="B27" s="19" t="s">
        <v>155</v>
      </c>
      <c r="C27" s="27">
        <v>37689.25</v>
      </c>
      <c r="D27" s="27">
        <v>46815.34</v>
      </c>
      <c r="E27" s="127">
        <v>51474.19</v>
      </c>
      <c r="F27" s="66"/>
    </row>
    <row r="28" spans="1:14" ht="22.2" customHeight="1" x14ac:dyDescent="0.3">
      <c r="A28" s="3"/>
      <c r="B28" s="68" t="s">
        <v>23</v>
      </c>
      <c r="C28" s="27">
        <v>428.78</v>
      </c>
      <c r="D28" s="27">
        <v>174.52</v>
      </c>
      <c r="E28" s="27">
        <v>609.82000000000005</v>
      </c>
      <c r="F28" s="66"/>
    </row>
    <row r="29" spans="1:14" x14ac:dyDescent="0.3">
      <c r="A29" s="3"/>
      <c r="B29" s="68" t="s">
        <v>24</v>
      </c>
      <c r="C29" s="27">
        <v>2348.1</v>
      </c>
      <c r="D29" s="27">
        <v>2348.1</v>
      </c>
      <c r="E29" s="127">
        <v>2429.86</v>
      </c>
      <c r="F29" s="66"/>
      <c r="H29" s="194"/>
    </row>
    <row r="30" spans="1:14" x14ac:dyDescent="0.3">
      <c r="A30" s="3"/>
      <c r="B30" s="68" t="s">
        <v>25</v>
      </c>
      <c r="C30" s="27">
        <v>7042.12</v>
      </c>
      <c r="D30" s="27">
        <v>7051.25</v>
      </c>
      <c r="E30" s="127">
        <v>8706.98</v>
      </c>
      <c r="F30" s="66"/>
      <c r="G30" s="58"/>
      <c r="H30" s="58"/>
    </row>
    <row r="31" spans="1:14" x14ac:dyDescent="0.3">
      <c r="A31" s="3"/>
      <c r="B31" s="253" t="s">
        <v>775</v>
      </c>
      <c r="C31" s="270"/>
      <c r="D31" s="270"/>
      <c r="E31" s="254"/>
      <c r="F31" s="66"/>
    </row>
    <row r="32" spans="1:14" x14ac:dyDescent="0.3">
      <c r="A32" s="3"/>
      <c r="B32" s="10"/>
      <c r="C32" s="66"/>
      <c r="D32" s="66"/>
      <c r="E32" s="66"/>
      <c r="F32" s="66"/>
      <c r="G32" s="59"/>
      <c r="H32" s="59"/>
    </row>
    <row r="33" spans="1:10" ht="37.950000000000003" customHeight="1" x14ac:dyDescent="0.3">
      <c r="A33" s="3">
        <v>7</v>
      </c>
      <c r="B33" s="261" t="s">
        <v>26</v>
      </c>
      <c r="C33" s="262"/>
      <c r="D33" s="262"/>
      <c r="E33" s="263"/>
      <c r="F33" s="2"/>
      <c r="G33" s="2"/>
      <c r="H33" s="2"/>
      <c r="I33" s="2"/>
      <c r="J33" s="2"/>
    </row>
    <row r="34" spans="1:10" x14ac:dyDescent="0.3">
      <c r="A34" s="3"/>
      <c r="B34" s="67" t="s">
        <v>27</v>
      </c>
      <c r="C34" s="190" t="s">
        <v>154</v>
      </c>
      <c r="D34" s="10"/>
      <c r="E34" s="10"/>
      <c r="F34" s="10"/>
    </row>
    <row r="35" spans="1:10" x14ac:dyDescent="0.3">
      <c r="A35" s="3"/>
      <c r="B35" s="67" t="s">
        <v>28</v>
      </c>
      <c r="C35" s="190" t="s">
        <v>86</v>
      </c>
      <c r="D35" s="10"/>
      <c r="E35" s="10"/>
      <c r="F35" s="10"/>
    </row>
    <row r="36" spans="1:10" x14ac:dyDescent="0.3">
      <c r="A36" s="3"/>
      <c r="B36" s="67" t="s">
        <v>29</v>
      </c>
      <c r="C36" s="27" t="s">
        <v>86</v>
      </c>
      <c r="D36" s="10"/>
      <c r="E36" s="10"/>
      <c r="F36" s="10"/>
      <c r="G36" s="60"/>
      <c r="H36" s="60"/>
    </row>
    <row r="37" spans="1:10" x14ac:dyDescent="0.3">
      <c r="A37" s="3"/>
      <c r="C37" s="10"/>
      <c r="D37" s="10"/>
      <c r="E37" s="10"/>
      <c r="F37" s="10"/>
    </row>
    <row r="38" spans="1:10" x14ac:dyDescent="0.3">
      <c r="A38" s="3"/>
      <c r="B38" s="66"/>
      <c r="C38" s="10"/>
      <c r="D38" s="10"/>
      <c r="E38" s="10"/>
      <c r="F38" s="10"/>
    </row>
    <row r="39" spans="1:10" x14ac:dyDescent="0.3">
      <c r="A39" s="3">
        <v>8</v>
      </c>
      <c r="B39" s="261" t="s">
        <v>30</v>
      </c>
      <c r="C39" s="262"/>
      <c r="D39" s="262"/>
      <c r="E39" s="263"/>
      <c r="F39" s="2"/>
      <c r="G39" s="2"/>
      <c r="H39" s="2"/>
      <c r="I39" s="2"/>
      <c r="J39" s="2"/>
    </row>
    <row r="40" spans="1:10" x14ac:dyDescent="0.3">
      <c r="A40" s="3"/>
      <c r="B40" s="67" t="s">
        <v>31</v>
      </c>
      <c r="C40" s="397" t="s">
        <v>156</v>
      </c>
      <c r="D40" s="398"/>
      <c r="E40" s="399"/>
      <c r="F40" s="10"/>
    </row>
    <row r="41" spans="1:10" ht="52.2" customHeight="1" x14ac:dyDescent="0.3">
      <c r="A41" s="3"/>
      <c r="B41" s="67" t="s">
        <v>28</v>
      </c>
      <c r="C41" s="397" t="s">
        <v>156</v>
      </c>
      <c r="D41" s="398"/>
      <c r="E41" s="399"/>
      <c r="F41" s="10"/>
    </row>
    <row r="42" spans="1:10" x14ac:dyDescent="0.3">
      <c r="A42" s="3"/>
      <c r="B42" s="67" t="s">
        <v>29</v>
      </c>
      <c r="C42" s="397" t="s">
        <v>156</v>
      </c>
      <c r="D42" s="398"/>
      <c r="E42" s="399"/>
      <c r="F42" s="10"/>
    </row>
    <row r="43" spans="1:10" x14ac:dyDescent="0.3">
      <c r="A43" s="3"/>
      <c r="B43" s="253"/>
      <c r="C43" s="270"/>
      <c r="D43" s="270"/>
      <c r="E43" s="254"/>
      <c r="F43" s="10"/>
    </row>
    <row r="44" spans="1:10" x14ac:dyDescent="0.3">
      <c r="A44" s="3"/>
      <c r="D44" s="22"/>
      <c r="E44" s="10"/>
    </row>
    <row r="45" spans="1:10" x14ac:dyDescent="0.3">
      <c r="A45" s="191">
        <v>9</v>
      </c>
      <c r="B45" s="262" t="s">
        <v>32</v>
      </c>
      <c r="C45" s="262"/>
      <c r="D45" s="262"/>
      <c r="E45" s="263"/>
      <c r="F45" s="2"/>
      <c r="G45" s="2"/>
      <c r="H45" s="2"/>
      <c r="I45" s="2"/>
    </row>
    <row r="46" spans="1:10" ht="81.599999999999994" x14ac:dyDescent="0.3">
      <c r="A46" s="191"/>
      <c r="B46" s="24" t="s">
        <v>33</v>
      </c>
      <c r="C46" s="25" t="s">
        <v>34</v>
      </c>
      <c r="D46" s="25" t="s">
        <v>96</v>
      </c>
      <c r="E46" s="25" t="s">
        <v>35</v>
      </c>
    </row>
    <row r="47" spans="1:10" ht="84" x14ac:dyDescent="0.3">
      <c r="A47" s="191"/>
      <c r="B47" s="189" t="s">
        <v>157</v>
      </c>
      <c r="C47" s="27" t="s">
        <v>158</v>
      </c>
      <c r="D47" s="145" t="s">
        <v>158</v>
      </c>
      <c r="E47" s="27" t="s">
        <v>50</v>
      </c>
    </row>
    <row r="48" spans="1:10" x14ac:dyDescent="0.3">
      <c r="A48" s="191"/>
      <c r="B48" s="270"/>
      <c r="C48" s="270"/>
      <c r="D48" s="270"/>
      <c r="E48" s="254"/>
    </row>
    <row r="49" spans="1:14" x14ac:dyDescent="0.3">
      <c r="A49" s="191"/>
      <c r="B49" s="28"/>
      <c r="C49" s="22"/>
      <c r="D49" s="22"/>
      <c r="E49" s="22"/>
      <c r="F49" s="66"/>
      <c r="G49" s="66"/>
      <c r="H49" s="66"/>
      <c r="I49" s="66"/>
    </row>
    <row r="50" spans="1:14" ht="42" customHeight="1" x14ac:dyDescent="0.3">
      <c r="A50" s="191">
        <v>10</v>
      </c>
      <c r="B50" s="262" t="s">
        <v>32</v>
      </c>
      <c r="C50" s="262"/>
      <c r="D50" s="262"/>
      <c r="E50" s="263"/>
      <c r="F50" s="66"/>
      <c r="G50" s="66"/>
      <c r="H50" s="66"/>
    </row>
    <row r="51" spans="1:14" x14ac:dyDescent="0.3">
      <c r="A51" s="191"/>
      <c r="B51" s="275" t="s">
        <v>36</v>
      </c>
      <c r="C51" s="376" t="s">
        <v>158</v>
      </c>
      <c r="D51" s="377"/>
      <c r="E51" s="378"/>
      <c r="K51" s="2"/>
    </row>
    <row r="52" spans="1:14" ht="46.5" customHeight="1" x14ac:dyDescent="0.3">
      <c r="A52" s="191"/>
      <c r="B52" s="276"/>
      <c r="C52" s="379"/>
      <c r="D52" s="380"/>
      <c r="E52" s="381"/>
      <c r="K52" s="2"/>
    </row>
    <row r="53" spans="1:14" ht="63" customHeight="1" x14ac:dyDescent="0.3">
      <c r="A53" s="191"/>
      <c r="B53" s="29" t="s">
        <v>37</v>
      </c>
      <c r="C53" s="394" t="s">
        <v>158</v>
      </c>
      <c r="D53" s="395"/>
      <c r="E53" s="396"/>
    </row>
    <row r="54" spans="1:14" x14ac:dyDescent="0.3">
      <c r="A54" s="191"/>
      <c r="B54" s="29" t="s">
        <v>38</v>
      </c>
      <c r="C54" s="391" t="s">
        <v>94</v>
      </c>
      <c r="D54" s="392"/>
      <c r="E54" s="393"/>
      <c r="K54" s="30"/>
    </row>
    <row r="55" spans="1:14" s="32" customFormat="1" x14ac:dyDescent="0.4">
      <c r="A55" s="111" t="s">
        <v>39</v>
      </c>
      <c r="B55" s="290" t="s">
        <v>823</v>
      </c>
      <c r="C55" s="290"/>
      <c r="D55" s="290"/>
      <c r="E55" s="291"/>
    </row>
    <row r="56" spans="1:14" x14ac:dyDescent="0.3">
      <c r="A56" s="71"/>
      <c r="B56" s="72"/>
      <c r="C56" s="73"/>
      <c r="D56" s="73"/>
      <c r="E56" s="73"/>
      <c r="F56" s="73"/>
    </row>
    <row r="57" spans="1:14" x14ac:dyDescent="0.3">
      <c r="A57" s="3">
        <v>11</v>
      </c>
      <c r="B57" s="54" t="s">
        <v>41</v>
      </c>
      <c r="C57" s="307" t="s">
        <v>89</v>
      </c>
      <c r="D57" s="308"/>
      <c r="E57" s="249"/>
      <c r="F57" s="2"/>
      <c r="G57" s="2"/>
      <c r="H57" s="74"/>
      <c r="I57" s="2"/>
      <c r="J57" s="2"/>
    </row>
    <row r="58" spans="1:14" x14ac:dyDescent="0.3">
      <c r="A58" s="3"/>
      <c r="B58" s="66"/>
      <c r="C58" s="66"/>
      <c r="D58" s="66"/>
      <c r="E58" s="66"/>
      <c r="F58" s="66"/>
      <c r="G58" s="66"/>
      <c r="H58" s="75"/>
      <c r="I58" s="75"/>
      <c r="J58" s="66"/>
    </row>
    <row r="59" spans="1:14" s="42" customFormat="1" x14ac:dyDescent="0.3">
      <c r="A59" s="76">
        <v>12</v>
      </c>
      <c r="B59" s="77" t="s">
        <v>42</v>
      </c>
      <c r="C59" s="272"/>
      <c r="D59" s="273"/>
      <c r="E59" s="274"/>
      <c r="F59" s="78"/>
      <c r="G59" s="79"/>
      <c r="H59" s="79"/>
      <c r="I59" s="79"/>
      <c r="J59" s="79"/>
      <c r="K59" s="79"/>
      <c r="L59" s="79"/>
      <c r="M59" s="79"/>
      <c r="N59" s="79"/>
    </row>
    <row r="60" spans="1:14" x14ac:dyDescent="0.3">
      <c r="A60" s="3"/>
      <c r="B60" s="2"/>
      <c r="C60" s="2"/>
      <c r="D60" s="2"/>
      <c r="E60" s="74"/>
      <c r="F60" s="74"/>
      <c r="G60" s="74"/>
      <c r="H60" s="2"/>
      <c r="I60" s="2"/>
      <c r="J60" s="2"/>
      <c r="K60" s="2"/>
      <c r="L60" s="2"/>
      <c r="M60" s="2"/>
      <c r="N60" s="2"/>
    </row>
    <row r="61" spans="1:14" x14ac:dyDescent="0.3">
      <c r="A61" s="3"/>
      <c r="B61" s="67" t="s">
        <v>43</v>
      </c>
      <c r="C61" s="68" t="s">
        <v>152</v>
      </c>
      <c r="D61" s="66"/>
      <c r="E61" s="66"/>
      <c r="F61" s="75"/>
      <c r="G61" s="75"/>
      <c r="H61" s="66"/>
      <c r="I61" s="66"/>
      <c r="J61" s="66"/>
      <c r="K61" s="66"/>
      <c r="L61" s="66"/>
      <c r="M61" s="66"/>
      <c r="N61" s="66"/>
    </row>
    <row r="62" spans="1:14" x14ac:dyDescent="0.3">
      <c r="A62" s="3"/>
      <c r="B62" s="66"/>
      <c r="C62" s="66"/>
      <c r="D62" s="66"/>
      <c r="E62" s="66"/>
      <c r="F62" s="66"/>
      <c r="G62" s="66"/>
      <c r="H62" s="66"/>
      <c r="I62" s="66"/>
      <c r="J62" s="66"/>
      <c r="K62" s="66"/>
      <c r="L62" s="66"/>
      <c r="M62" s="66"/>
      <c r="N62" s="66"/>
    </row>
    <row r="63" spans="1:14" ht="43.95" customHeight="1" x14ac:dyDescent="0.3">
      <c r="A63" s="3"/>
      <c r="B63" s="295" t="s">
        <v>44</v>
      </c>
      <c r="C63" s="295" t="s">
        <v>79</v>
      </c>
      <c r="D63" s="295" t="s">
        <v>68</v>
      </c>
      <c r="E63" s="297" t="s">
        <v>45</v>
      </c>
      <c r="F63" s="292" t="s">
        <v>98</v>
      </c>
      <c r="G63" s="293"/>
      <c r="H63" s="294"/>
      <c r="I63" s="292" t="s">
        <v>122</v>
      </c>
      <c r="J63" s="293"/>
      <c r="K63" s="294"/>
      <c r="L63" s="292" t="s">
        <v>235</v>
      </c>
      <c r="M63" s="293"/>
      <c r="N63" s="294"/>
    </row>
    <row r="64" spans="1:14" ht="61.2" x14ac:dyDescent="0.3">
      <c r="A64" s="3"/>
      <c r="B64" s="296"/>
      <c r="C64" s="296"/>
      <c r="D64" s="296"/>
      <c r="E64" s="298"/>
      <c r="F64" s="67" t="s">
        <v>46</v>
      </c>
      <c r="G64" s="67" t="s">
        <v>47</v>
      </c>
      <c r="H64" s="67" t="s">
        <v>48</v>
      </c>
      <c r="I64" s="67" t="s">
        <v>49</v>
      </c>
      <c r="J64" s="67" t="s">
        <v>47</v>
      </c>
      <c r="K64" s="67" t="s">
        <v>48</v>
      </c>
      <c r="L64" s="67" t="s">
        <v>49</v>
      </c>
      <c r="M64" s="67" t="s">
        <v>47</v>
      </c>
      <c r="N64" s="67" t="s">
        <v>48</v>
      </c>
    </row>
    <row r="65" spans="1:14" ht="105" customHeight="1" x14ac:dyDescent="0.3">
      <c r="A65" s="3"/>
      <c r="B65" s="67" t="s">
        <v>776</v>
      </c>
      <c r="C65" s="81">
        <v>78.75</v>
      </c>
      <c r="D65" s="82">
        <v>71.150000000000006</v>
      </c>
      <c r="E65" s="82">
        <v>63</v>
      </c>
      <c r="F65" s="82">
        <v>41.65</v>
      </c>
      <c r="G65" s="82">
        <v>83.95</v>
      </c>
      <c r="H65" s="82">
        <v>37.799999999999997</v>
      </c>
      <c r="I65" s="82">
        <v>61.6</v>
      </c>
      <c r="J65" s="82">
        <v>65.95</v>
      </c>
      <c r="K65" s="82">
        <v>39.9</v>
      </c>
      <c r="L65" s="82">
        <v>295.05</v>
      </c>
      <c r="M65" s="82">
        <v>321</v>
      </c>
      <c r="N65" s="82">
        <v>190</v>
      </c>
    </row>
    <row r="66" spans="1:14" ht="61.2" x14ac:dyDescent="0.3">
      <c r="A66" s="3"/>
      <c r="B66" s="69" t="s">
        <v>778</v>
      </c>
      <c r="C66" s="81">
        <v>16301.85</v>
      </c>
      <c r="D66" s="82">
        <v>16416.349999999999</v>
      </c>
      <c r="E66" s="82">
        <v>17525.099999999999</v>
      </c>
      <c r="F66" s="82">
        <v>17359.75</v>
      </c>
      <c r="G66" s="82">
        <v>18887.599999999999</v>
      </c>
      <c r="H66" s="82">
        <v>15183.4</v>
      </c>
      <c r="I66" s="82">
        <v>22326.9</v>
      </c>
      <c r="J66" s="82">
        <v>22526.6</v>
      </c>
      <c r="K66" s="82">
        <v>17312.75</v>
      </c>
      <c r="L66" s="121">
        <v>23519.35</v>
      </c>
      <c r="M66" s="121">
        <v>26277.35</v>
      </c>
      <c r="N66" s="121">
        <v>21281.45</v>
      </c>
    </row>
    <row r="67" spans="1:14" x14ac:dyDescent="0.3">
      <c r="A67" s="3"/>
      <c r="B67" s="253" t="s">
        <v>99</v>
      </c>
      <c r="C67" s="270"/>
      <c r="D67" s="270"/>
      <c r="E67" s="270"/>
      <c r="F67" s="270"/>
      <c r="G67" s="270"/>
      <c r="H67" s="270"/>
      <c r="I67" s="270"/>
      <c r="J67" s="270"/>
      <c r="K67" s="270"/>
      <c r="L67" s="270"/>
      <c r="M67" s="270"/>
      <c r="N67" s="254"/>
    </row>
    <row r="68" spans="1:14" x14ac:dyDescent="0.3">
      <c r="A68" s="3"/>
      <c r="B68" s="253" t="s">
        <v>777</v>
      </c>
      <c r="C68" s="270"/>
      <c r="D68" s="270"/>
      <c r="E68" s="270"/>
      <c r="F68" s="254"/>
      <c r="G68" s="83"/>
      <c r="H68" s="83"/>
      <c r="I68" s="83"/>
      <c r="J68" s="83"/>
      <c r="K68" s="83"/>
      <c r="L68" s="83"/>
      <c r="M68" s="83"/>
      <c r="N68" s="83"/>
    </row>
    <row r="69" spans="1:14" ht="44.4" customHeight="1" x14ac:dyDescent="0.3">
      <c r="A69" s="3"/>
      <c r="B69" s="364" t="s">
        <v>755</v>
      </c>
      <c r="C69" s="364"/>
      <c r="D69" s="364"/>
      <c r="E69" s="364"/>
      <c r="F69" s="364"/>
      <c r="G69" s="83"/>
      <c r="H69" s="83"/>
      <c r="I69" s="83"/>
      <c r="J69" s="83"/>
      <c r="K69" s="83"/>
      <c r="L69" s="83"/>
      <c r="M69" s="83"/>
      <c r="N69" s="83"/>
    </row>
    <row r="70" spans="1:14" x14ac:dyDescent="0.3">
      <c r="A70" s="3"/>
      <c r="B70" s="253" t="s">
        <v>71</v>
      </c>
      <c r="C70" s="270"/>
      <c r="D70" s="270"/>
      <c r="E70" s="270"/>
      <c r="F70" s="254"/>
      <c r="G70" s="83"/>
      <c r="H70" s="83"/>
      <c r="I70" s="83"/>
      <c r="J70" s="83"/>
      <c r="K70" s="83"/>
      <c r="L70" s="83"/>
      <c r="M70" s="83"/>
      <c r="N70" s="83"/>
    </row>
    <row r="71" spans="1:14" x14ac:dyDescent="0.3">
      <c r="A71" s="3"/>
      <c r="B71" s="84"/>
      <c r="C71" s="84"/>
      <c r="D71" s="84"/>
      <c r="E71" s="84"/>
      <c r="F71" s="84"/>
      <c r="G71" s="10"/>
      <c r="H71" s="10"/>
      <c r="I71" s="10"/>
      <c r="J71" s="10"/>
      <c r="K71" s="10"/>
      <c r="L71" s="10"/>
      <c r="M71" s="10"/>
      <c r="N71" s="10"/>
    </row>
    <row r="72" spans="1:14" ht="41.7" customHeight="1" x14ac:dyDescent="0.3">
      <c r="A72" s="3">
        <v>13</v>
      </c>
      <c r="B72" s="261" t="s">
        <v>51</v>
      </c>
      <c r="C72" s="262"/>
      <c r="D72" s="262"/>
      <c r="E72" s="262"/>
      <c r="F72" s="262"/>
      <c r="G72" s="263"/>
      <c r="H72" s="2"/>
      <c r="I72" s="2"/>
      <c r="J72" s="2"/>
      <c r="K72" s="2"/>
      <c r="L72" s="2"/>
      <c r="M72" s="2"/>
      <c r="N72" s="2"/>
    </row>
    <row r="73" spans="1:14" x14ac:dyDescent="0.3">
      <c r="A73" s="3"/>
      <c r="C73" s="66"/>
      <c r="D73" s="66"/>
      <c r="E73" s="66"/>
      <c r="F73" s="66"/>
      <c r="G73" s="66"/>
      <c r="H73" s="66"/>
      <c r="I73" s="66"/>
      <c r="J73" s="66"/>
      <c r="K73" s="66"/>
      <c r="L73" s="66"/>
      <c r="M73" s="66"/>
      <c r="N73" s="66"/>
    </row>
    <row r="74" spans="1:14" ht="40.799999999999997" x14ac:dyDescent="0.3">
      <c r="A74" s="3"/>
      <c r="B74" s="25" t="s">
        <v>52</v>
      </c>
      <c r="C74" s="25" t="s">
        <v>53</v>
      </c>
      <c r="D74" s="25" t="s">
        <v>717</v>
      </c>
      <c r="E74" s="25" t="s">
        <v>54</v>
      </c>
      <c r="F74" s="25" t="s">
        <v>55</v>
      </c>
      <c r="G74" s="25" t="s">
        <v>56</v>
      </c>
      <c r="H74" s="10"/>
      <c r="I74" s="10"/>
      <c r="J74" s="10"/>
      <c r="K74" s="10"/>
      <c r="L74" s="10"/>
      <c r="M74" s="10"/>
      <c r="N74" s="10"/>
    </row>
    <row r="75" spans="1:14" ht="21" customHeight="1" x14ac:dyDescent="0.4">
      <c r="A75" s="3"/>
      <c r="B75" s="80" t="s">
        <v>72</v>
      </c>
      <c r="C75" s="54" t="s">
        <v>718</v>
      </c>
      <c r="D75" s="48">
        <v>4.13</v>
      </c>
      <c r="E75" s="48">
        <v>1.83</v>
      </c>
      <c r="F75" s="48">
        <v>0.74</v>
      </c>
      <c r="G75" s="132">
        <v>2.59</v>
      </c>
    </row>
    <row r="76" spans="1:14" ht="21" customHeight="1" x14ac:dyDescent="0.4">
      <c r="A76" s="3"/>
      <c r="B76" s="80"/>
      <c r="C76" s="54" t="s">
        <v>716</v>
      </c>
      <c r="D76" s="48"/>
      <c r="E76" s="48"/>
      <c r="F76" s="48"/>
      <c r="G76" s="132">
        <v>2.54</v>
      </c>
    </row>
    <row r="77" spans="1:14" ht="21" customHeight="1" x14ac:dyDescent="0.4">
      <c r="A77" s="3"/>
      <c r="B77" s="80"/>
      <c r="C77" s="4" t="s">
        <v>57</v>
      </c>
      <c r="D77" s="48"/>
      <c r="E77" s="48"/>
      <c r="F77" s="48"/>
      <c r="G77" s="88"/>
    </row>
    <row r="78" spans="1:14" ht="21" customHeight="1" x14ac:dyDescent="0.4">
      <c r="A78" s="3"/>
      <c r="B78" s="80"/>
      <c r="C78" s="5" t="s">
        <v>160</v>
      </c>
      <c r="D78" s="48">
        <v>118.68</v>
      </c>
      <c r="E78" s="48">
        <v>195.45</v>
      </c>
      <c r="F78" s="48">
        <v>110</v>
      </c>
      <c r="G78" s="132">
        <v>114.83</v>
      </c>
    </row>
    <row r="79" spans="1:14" ht="21" customHeight="1" x14ac:dyDescent="0.4">
      <c r="A79" s="3"/>
      <c r="B79" s="80"/>
      <c r="C79" s="5" t="s">
        <v>161</v>
      </c>
      <c r="D79" s="48">
        <v>3.8</v>
      </c>
      <c r="E79" s="48">
        <v>2.69</v>
      </c>
      <c r="F79" s="48">
        <v>5.43</v>
      </c>
      <c r="G79" s="132">
        <v>8.31</v>
      </c>
    </row>
    <row r="80" spans="1:14" ht="21" customHeight="1" x14ac:dyDescent="0.4">
      <c r="A80" s="3"/>
      <c r="B80" s="80"/>
      <c r="C80" s="5" t="s">
        <v>162</v>
      </c>
      <c r="D80" s="48">
        <v>9.4700000000000006</v>
      </c>
      <c r="E80" s="48">
        <v>-5.12</v>
      </c>
      <c r="F80" s="48">
        <v>-8.5500000000000007</v>
      </c>
      <c r="G80" s="132">
        <v>9.09</v>
      </c>
    </row>
    <row r="81" spans="1:7" ht="21" customHeight="1" x14ac:dyDescent="0.4">
      <c r="A81" s="3"/>
      <c r="B81" s="80"/>
      <c r="C81" s="5" t="s">
        <v>166</v>
      </c>
      <c r="D81" s="48">
        <v>19.03</v>
      </c>
      <c r="E81" s="48">
        <v>-27.51</v>
      </c>
      <c r="F81" s="48">
        <v>-18.41</v>
      </c>
      <c r="G81" s="48">
        <v>-17.23</v>
      </c>
    </row>
    <row r="82" spans="1:7" ht="21" customHeight="1" x14ac:dyDescent="0.4">
      <c r="A82" s="3"/>
      <c r="B82" s="80"/>
      <c r="C82" s="5" t="s">
        <v>163</v>
      </c>
      <c r="D82" s="48">
        <v>27.46</v>
      </c>
      <c r="E82" s="48">
        <v>-21.69</v>
      </c>
      <c r="F82" s="48">
        <v>13.99</v>
      </c>
      <c r="G82" s="132">
        <v>27.41</v>
      </c>
    </row>
    <row r="83" spans="1:7" ht="21" customHeight="1" x14ac:dyDescent="0.4">
      <c r="A83" s="3"/>
      <c r="B83" s="80"/>
      <c r="C83" s="5" t="s">
        <v>164</v>
      </c>
      <c r="D83" s="48">
        <v>14.98</v>
      </c>
      <c r="E83" s="48">
        <v>23.82</v>
      </c>
      <c r="F83" s="48">
        <v>23.56</v>
      </c>
      <c r="G83" s="132">
        <v>23.85</v>
      </c>
    </row>
    <row r="84" spans="1:7" ht="21" customHeight="1" x14ac:dyDescent="0.35">
      <c r="A84" s="3"/>
      <c r="B84" s="80"/>
      <c r="C84" s="54" t="s">
        <v>165</v>
      </c>
      <c r="D84" s="101">
        <f>AVERAGE(D78:D83)</f>
        <v>32.236666666666672</v>
      </c>
      <c r="E84" s="106">
        <f>AVERAGE(E78:E83)</f>
        <v>27.939999999999998</v>
      </c>
      <c r="F84" s="101">
        <f>AVERAGE(F78:F83)</f>
        <v>21.003333333333334</v>
      </c>
      <c r="G84" s="101">
        <f>AVERAGE(G78:G83)</f>
        <v>27.709999999999997</v>
      </c>
    </row>
    <row r="85" spans="1:7" x14ac:dyDescent="0.4">
      <c r="A85" s="3"/>
      <c r="B85" s="25" t="s">
        <v>59</v>
      </c>
      <c r="C85" s="54" t="s">
        <v>159</v>
      </c>
      <c r="D85" s="53">
        <v>18.149999999999999</v>
      </c>
      <c r="E85" s="53">
        <v>22.81</v>
      </c>
      <c r="F85" s="53">
        <f>I65/F75</f>
        <v>83.243243243243242</v>
      </c>
      <c r="G85" s="85">
        <f>L65/G75</f>
        <v>113.91891891891893</v>
      </c>
    </row>
    <row r="86" spans="1:7" x14ac:dyDescent="0.4">
      <c r="A86" s="3"/>
      <c r="B86" s="25"/>
      <c r="C86" s="4" t="s">
        <v>57</v>
      </c>
      <c r="D86" s="53"/>
      <c r="E86" s="53"/>
      <c r="F86" s="53"/>
      <c r="G86" s="88"/>
    </row>
    <row r="87" spans="1:7" x14ac:dyDescent="0.4">
      <c r="A87" s="3"/>
      <c r="B87" s="25"/>
      <c r="C87" s="5" t="s">
        <v>160</v>
      </c>
      <c r="D87" s="53">
        <v>20.16</v>
      </c>
      <c r="E87" s="53">
        <v>7.06</v>
      </c>
      <c r="F87" s="53">
        <f>1414.3/F78</f>
        <v>12.857272727272727</v>
      </c>
      <c r="G87" s="85">
        <f>1281/G78</f>
        <v>11.155621353304886</v>
      </c>
    </row>
    <row r="88" spans="1:7" x14ac:dyDescent="0.4">
      <c r="A88" s="3"/>
      <c r="B88" s="25"/>
      <c r="C88" s="5" t="s">
        <v>161</v>
      </c>
      <c r="D88" s="53">
        <v>29.74</v>
      </c>
      <c r="E88" s="53">
        <v>40.26</v>
      </c>
      <c r="F88" s="53">
        <f>86.2/F79</f>
        <v>15.874769797421733</v>
      </c>
      <c r="G88" s="85">
        <f>625.1/G79</f>
        <v>75.222623345367026</v>
      </c>
    </row>
    <row r="89" spans="1:7" x14ac:dyDescent="0.4">
      <c r="A89" s="3"/>
      <c r="B89" s="25"/>
      <c r="C89" s="5" t="s">
        <v>162</v>
      </c>
      <c r="D89" s="53">
        <v>25.39</v>
      </c>
      <c r="E89" s="53">
        <v>-23.4</v>
      </c>
      <c r="F89" s="53">
        <f>178.6/F80</f>
        <v>-20.888888888888886</v>
      </c>
      <c r="G89" s="85">
        <f>174.27/G80</f>
        <v>19.171617161716174</v>
      </c>
    </row>
    <row r="90" spans="1:7" x14ac:dyDescent="0.4">
      <c r="A90" s="3"/>
      <c r="B90" s="25"/>
      <c r="C90" s="5" t="s">
        <v>166</v>
      </c>
      <c r="D90" s="53">
        <v>13.89</v>
      </c>
      <c r="E90" s="53">
        <f>133/E81</f>
        <v>-4.8346055979643765</v>
      </c>
      <c r="F90" s="53">
        <f>142/F81</f>
        <v>-7.7131993481803365</v>
      </c>
      <c r="G90" s="53">
        <f>129.7/G81</f>
        <v>-7.5275681950087048</v>
      </c>
    </row>
    <row r="91" spans="1:7" x14ac:dyDescent="0.4">
      <c r="A91" s="3"/>
      <c r="B91" s="25"/>
      <c r="C91" s="5" t="s">
        <v>163</v>
      </c>
      <c r="D91" s="53">
        <v>12.04</v>
      </c>
      <c r="E91" s="53">
        <v>2.2799999999999998</v>
      </c>
      <c r="F91" s="53">
        <f>351.05/F82</f>
        <v>25.092923516797715</v>
      </c>
      <c r="G91" s="85">
        <f>440.7/G82</f>
        <v>16.078073695731483</v>
      </c>
    </row>
    <row r="92" spans="1:7" x14ac:dyDescent="0.4">
      <c r="A92" s="3"/>
      <c r="B92" s="25"/>
      <c r="C92" s="5" t="s">
        <v>164</v>
      </c>
      <c r="D92" s="53">
        <v>43.91</v>
      </c>
      <c r="E92" s="53">
        <v>24.27</v>
      </c>
      <c r="F92" s="53">
        <f>832.45/F83</f>
        <v>35.333191850594233</v>
      </c>
      <c r="G92" s="85">
        <f>907.05/G83</f>
        <v>38.031446540880502</v>
      </c>
    </row>
    <row r="93" spans="1:7" x14ac:dyDescent="0.35">
      <c r="A93" s="3"/>
      <c r="B93" s="25"/>
      <c r="C93" s="54" t="s">
        <v>165</v>
      </c>
      <c r="D93" s="101">
        <f>AVERAGE(D87:D92)</f>
        <v>24.188333333333333</v>
      </c>
      <c r="E93" s="101">
        <f>AVERAGE(E87:E92)</f>
        <v>7.6058990670059385</v>
      </c>
      <c r="F93" s="101">
        <f>AVERAGE(F87:F92)</f>
        <v>10.092678275836198</v>
      </c>
      <c r="G93" s="101">
        <f>AVERAGE(G87:G92)</f>
        <v>25.355302316998561</v>
      </c>
    </row>
    <row r="94" spans="1:7" x14ac:dyDescent="0.4">
      <c r="A94" s="3"/>
      <c r="B94" s="25" t="s">
        <v>60</v>
      </c>
      <c r="C94" s="54" t="s">
        <v>159</v>
      </c>
      <c r="D94" s="95">
        <v>0.28989999999999999</v>
      </c>
      <c r="E94" s="95">
        <v>4.58E-2</v>
      </c>
      <c r="F94" s="95">
        <v>1.8599999999999998E-2</v>
      </c>
      <c r="G94" s="109">
        <v>5.4800000000000001E-2</v>
      </c>
    </row>
    <row r="95" spans="1:7" x14ac:dyDescent="0.4">
      <c r="A95" s="3"/>
      <c r="B95" s="25"/>
      <c r="C95" s="4" t="s">
        <v>57</v>
      </c>
      <c r="D95" s="95"/>
      <c r="E95" s="48"/>
      <c r="F95" s="48"/>
      <c r="G95" s="88"/>
    </row>
    <row r="96" spans="1:7" x14ac:dyDescent="0.4">
      <c r="A96" s="3"/>
      <c r="B96" s="25"/>
      <c r="C96" s="5" t="s">
        <v>160</v>
      </c>
      <c r="D96" s="95">
        <v>0.1202</v>
      </c>
      <c r="E96" s="95">
        <v>0.13700000000000001</v>
      </c>
      <c r="F96" s="95">
        <v>7.3300000000000004E-2</v>
      </c>
      <c r="G96" s="109">
        <v>7.2700000000000001E-2</v>
      </c>
    </row>
    <row r="97" spans="1:7" x14ac:dyDescent="0.4">
      <c r="A97" s="3"/>
      <c r="B97" s="25"/>
      <c r="C97" s="5" t="s">
        <v>161</v>
      </c>
      <c r="D97" s="95">
        <v>5.3800000000000001E-2</v>
      </c>
      <c r="E97" s="95">
        <v>3.4799999999999998E-2</v>
      </c>
      <c r="F97" s="95">
        <v>7.0000000000000007E-2</v>
      </c>
      <c r="G97" s="109">
        <v>8.3500000000000005E-2</v>
      </c>
    </row>
    <row r="98" spans="1:7" x14ac:dyDescent="0.4">
      <c r="A98" s="3"/>
      <c r="B98" s="25"/>
      <c r="C98" s="5" t="s">
        <v>162</v>
      </c>
      <c r="D98" s="95">
        <v>9.9299999999999999E-2</v>
      </c>
      <c r="E98" s="95">
        <v>-4.9500000000000002E-2</v>
      </c>
      <c r="F98" s="95">
        <v>9.0200000000000002E-2</v>
      </c>
      <c r="G98" s="109">
        <v>8.72E-2</v>
      </c>
    </row>
    <row r="99" spans="1:7" x14ac:dyDescent="0.4">
      <c r="A99" s="3"/>
      <c r="B99" s="25"/>
      <c r="C99" s="5" t="s">
        <v>166</v>
      </c>
      <c r="D99" s="95">
        <v>8.0500000000000002E-2</v>
      </c>
      <c r="E99" s="48">
        <v>-11.74</v>
      </c>
      <c r="F99" s="95">
        <v>-8.5900000000000004E-2</v>
      </c>
      <c r="G99" s="95">
        <v>-8.5500000000000007E-2</v>
      </c>
    </row>
    <row r="100" spans="1:7" x14ac:dyDescent="0.4">
      <c r="A100" s="3"/>
      <c r="B100" s="25"/>
      <c r="C100" s="5" t="s">
        <v>163</v>
      </c>
      <c r="D100" s="95">
        <v>9.64E-2</v>
      </c>
      <c r="E100" s="95">
        <v>2.351</v>
      </c>
      <c r="F100" s="95">
        <v>4.0099999999999997E-2</v>
      </c>
      <c r="G100" s="109">
        <v>0.12180000000000001</v>
      </c>
    </row>
    <row r="101" spans="1:7" x14ac:dyDescent="0.4">
      <c r="A101" s="3"/>
      <c r="B101" s="25"/>
      <c r="C101" s="5" t="s">
        <v>164</v>
      </c>
      <c r="D101" s="95">
        <v>0.21920000000000001</v>
      </c>
      <c r="E101" s="95">
        <v>0.21959999999999999</v>
      </c>
      <c r="F101" s="95">
        <v>0.18479999999999999</v>
      </c>
      <c r="G101" s="109">
        <v>0.16300000000000001</v>
      </c>
    </row>
    <row r="102" spans="1:7" x14ac:dyDescent="0.35">
      <c r="A102" s="3"/>
      <c r="B102" s="25"/>
      <c r="C102" s="54" t="s">
        <v>165</v>
      </c>
      <c r="D102" s="101">
        <f>AVERAGE(D96:D101)</f>
        <v>0.11156666666666666</v>
      </c>
      <c r="E102" s="108">
        <f>AVERAGE(E96:E101)</f>
        <v>-1.5078500000000001</v>
      </c>
      <c r="F102" s="108">
        <f>AVERAGE(F96:F101)</f>
        <v>6.2083333333333331E-2</v>
      </c>
      <c r="G102" s="108">
        <f>AVERAGE(G96:G101)</f>
        <v>7.3783333333333326E-2</v>
      </c>
    </row>
    <row r="103" spans="1:7" x14ac:dyDescent="0.4">
      <c r="A103" s="3"/>
      <c r="B103" s="25" t="s">
        <v>61</v>
      </c>
      <c r="C103" s="54" t="s">
        <v>159</v>
      </c>
      <c r="D103" s="48">
        <v>14.25</v>
      </c>
      <c r="E103" s="48">
        <v>39.909999999999997</v>
      </c>
      <c r="F103" s="48">
        <v>40.03</v>
      </c>
      <c r="G103" s="132">
        <v>45.83</v>
      </c>
    </row>
    <row r="104" spans="1:7" x14ac:dyDescent="0.4">
      <c r="A104" s="3"/>
      <c r="B104" s="99"/>
      <c r="C104" s="4" t="s">
        <v>57</v>
      </c>
      <c r="D104" s="100"/>
      <c r="E104" s="100"/>
      <c r="F104" s="100"/>
      <c r="G104" s="88"/>
    </row>
    <row r="105" spans="1:7" x14ac:dyDescent="0.4">
      <c r="A105" s="3"/>
      <c r="B105" s="99"/>
      <c r="C105" s="5" t="s">
        <v>160</v>
      </c>
      <c r="D105" s="100">
        <v>987.26</v>
      </c>
      <c r="E105" s="48">
        <v>1426.2</v>
      </c>
      <c r="F105" s="53">
        <v>1501.556</v>
      </c>
      <c r="G105" s="132">
        <v>1579.13</v>
      </c>
    </row>
    <row r="106" spans="1:7" x14ac:dyDescent="0.4">
      <c r="A106" s="3"/>
      <c r="B106" s="99"/>
      <c r="C106" s="5" t="s">
        <v>161</v>
      </c>
      <c r="D106" s="100">
        <v>64.42</v>
      </c>
      <c r="E106" s="48">
        <v>72.88</v>
      </c>
      <c r="F106" s="48">
        <v>77.569999999999993</v>
      </c>
      <c r="G106" s="132">
        <v>97.81</v>
      </c>
    </row>
    <row r="107" spans="1:7" x14ac:dyDescent="0.4">
      <c r="A107" s="3"/>
      <c r="B107" s="99"/>
      <c r="C107" s="5" t="s">
        <v>162</v>
      </c>
      <c r="D107" s="100">
        <v>95.37</v>
      </c>
      <c r="E107" s="48">
        <v>103.47</v>
      </c>
      <c r="F107" s="53">
        <f>12286.07/129.62</f>
        <v>94.785295479092724</v>
      </c>
      <c r="G107" s="132">
        <v>104.2</v>
      </c>
    </row>
    <row r="108" spans="1:7" x14ac:dyDescent="0.4">
      <c r="A108" s="3"/>
      <c r="B108" s="99"/>
      <c r="C108" s="5" t="s">
        <v>166</v>
      </c>
      <c r="D108" s="100">
        <v>236.48</v>
      </c>
      <c r="E108" s="48">
        <v>234.36</v>
      </c>
      <c r="F108" s="48">
        <v>214.25</v>
      </c>
      <c r="G108" s="48">
        <v>201.55</v>
      </c>
    </row>
    <row r="109" spans="1:7" x14ac:dyDescent="0.4">
      <c r="A109" s="3"/>
      <c r="B109" s="99"/>
      <c r="C109" s="5" t="s">
        <v>163</v>
      </c>
      <c r="D109" s="100">
        <v>284.68</v>
      </c>
      <c r="E109" s="48">
        <v>33.81</v>
      </c>
      <c r="F109" s="53">
        <f>41821.26/120</f>
        <v>348.51050000000004</v>
      </c>
      <c r="G109" s="132">
        <v>354.25</v>
      </c>
    </row>
    <row r="110" spans="1:7" x14ac:dyDescent="0.4">
      <c r="A110" s="3"/>
      <c r="B110" s="99"/>
      <c r="C110" s="5" t="s">
        <v>164</v>
      </c>
      <c r="D110" s="100">
        <v>68.31</v>
      </c>
      <c r="E110" s="48">
        <v>108.45</v>
      </c>
      <c r="F110" s="48">
        <v>138.44</v>
      </c>
      <c r="G110" s="132">
        <v>146.34</v>
      </c>
    </row>
    <row r="111" spans="1:7" x14ac:dyDescent="0.4">
      <c r="A111" s="3"/>
      <c r="B111" s="99"/>
      <c r="C111" s="54" t="s">
        <v>165</v>
      </c>
      <c r="D111" s="100"/>
      <c r="E111" s="106">
        <f>AVERAGE(E105:E110)</f>
        <v>329.86166666666662</v>
      </c>
      <c r="F111" s="206">
        <f>AVERAGE(F105:F110)</f>
        <v>395.85196591318208</v>
      </c>
      <c r="G111" s="206">
        <f>AVERAGE(G105:G110)</f>
        <v>413.88000000000005</v>
      </c>
    </row>
    <row r="112" spans="1:7" x14ac:dyDescent="0.3">
      <c r="A112" s="3"/>
      <c r="B112" s="388"/>
      <c r="C112" s="389"/>
      <c r="D112" s="389"/>
      <c r="E112" s="389"/>
      <c r="F112" s="389"/>
      <c r="G112" s="390"/>
    </row>
    <row r="113" spans="1:8" x14ac:dyDescent="0.3">
      <c r="A113" s="3"/>
      <c r="B113" s="253" t="s">
        <v>719</v>
      </c>
      <c r="C113" s="270"/>
      <c r="D113" s="270"/>
      <c r="E113" s="270"/>
      <c r="F113" s="270"/>
      <c r="G113" s="254"/>
    </row>
    <row r="114" spans="1:8" x14ac:dyDescent="0.3">
      <c r="A114" s="3"/>
      <c r="B114" s="385" t="s">
        <v>62</v>
      </c>
      <c r="C114" s="386"/>
      <c r="D114" s="386"/>
      <c r="E114" s="386"/>
      <c r="F114" s="386"/>
      <c r="G114" s="387"/>
    </row>
    <row r="115" spans="1:8" ht="24" customHeight="1" x14ac:dyDescent="0.3">
      <c r="A115" s="3"/>
      <c r="B115" s="364" t="s">
        <v>756</v>
      </c>
      <c r="C115" s="364"/>
      <c r="D115" s="364"/>
      <c r="E115" s="364"/>
      <c r="F115" s="364"/>
      <c r="G115" s="364"/>
    </row>
    <row r="116" spans="1:8" x14ac:dyDescent="0.3">
      <c r="C116" s="306"/>
      <c r="D116" s="306"/>
      <c r="E116" s="306"/>
      <c r="F116" s="306"/>
      <c r="G116" s="306"/>
    </row>
    <row r="117" spans="1:8" x14ac:dyDescent="0.3">
      <c r="A117" s="3">
        <v>14</v>
      </c>
      <c r="B117" s="54" t="s">
        <v>63</v>
      </c>
      <c r="C117" s="307" t="s">
        <v>50</v>
      </c>
      <c r="D117" s="308"/>
      <c r="E117" s="308"/>
      <c r="F117" s="308"/>
      <c r="G117" s="249"/>
    </row>
    <row r="118" spans="1:8" x14ac:dyDescent="0.3">
      <c r="B118" s="299" t="s">
        <v>151</v>
      </c>
      <c r="C118" s="299"/>
      <c r="D118" s="299"/>
      <c r="E118" s="299"/>
      <c r="F118" s="299"/>
      <c r="G118" s="299"/>
      <c r="H118" s="299"/>
    </row>
    <row r="123" spans="1:8" x14ac:dyDescent="0.3">
      <c r="D123" s="56"/>
      <c r="E123" s="56"/>
    </row>
    <row r="124" spans="1:8" x14ac:dyDescent="0.3">
      <c r="E124" s="56"/>
    </row>
  </sheetData>
  <mergeCells count="51">
    <mergeCell ref="B12:D12"/>
    <mergeCell ref="A1:B1"/>
    <mergeCell ref="C5:E5"/>
    <mergeCell ref="B6:D6"/>
    <mergeCell ref="B9:D9"/>
    <mergeCell ref="C11:E11"/>
    <mergeCell ref="B31:E31"/>
    <mergeCell ref="B15:C15"/>
    <mergeCell ref="B17:E17"/>
    <mergeCell ref="C18:E18"/>
    <mergeCell ref="C19:E19"/>
    <mergeCell ref="C20:E20"/>
    <mergeCell ref="C21:E21"/>
    <mergeCell ref="C22:E22"/>
    <mergeCell ref="B24:E24"/>
    <mergeCell ref="B25:E25"/>
    <mergeCell ref="C53:E53"/>
    <mergeCell ref="B33:E33"/>
    <mergeCell ref="B39:E39"/>
    <mergeCell ref="C40:E40"/>
    <mergeCell ref="C41:E41"/>
    <mergeCell ref="C42:E42"/>
    <mergeCell ref="B43:E43"/>
    <mergeCell ref="B45:E45"/>
    <mergeCell ref="B48:E48"/>
    <mergeCell ref="B50:E50"/>
    <mergeCell ref="B51:B52"/>
    <mergeCell ref="C51:E52"/>
    <mergeCell ref="C54:E54"/>
    <mergeCell ref="B55:E55"/>
    <mergeCell ref="C57:E57"/>
    <mergeCell ref="C59:E59"/>
    <mergeCell ref="B63:B64"/>
    <mergeCell ref="C63:C64"/>
    <mergeCell ref="D63:D64"/>
    <mergeCell ref="E63:E64"/>
    <mergeCell ref="B112:G112"/>
    <mergeCell ref="F63:H63"/>
    <mergeCell ref="I63:K63"/>
    <mergeCell ref="L63:N63"/>
    <mergeCell ref="B67:N67"/>
    <mergeCell ref="B68:F68"/>
    <mergeCell ref="B69:F69"/>
    <mergeCell ref="B70:F70"/>
    <mergeCell ref="B72:G72"/>
    <mergeCell ref="B118:H118"/>
    <mergeCell ref="B113:G113"/>
    <mergeCell ref="C116:G116"/>
    <mergeCell ref="B114:G114"/>
    <mergeCell ref="C117:G117"/>
    <mergeCell ref="B115:G115"/>
  </mergeCells>
  <pageMargins left="0.23622047244094491" right="0" top="0.74803149606299213" bottom="0.74803149606299213" header="0.31496062992125984" footer="0.31496062992125984"/>
  <pageSetup paperSize="9" scale="20" fitToWidth="109" fitToHeight="2" orientation="landscape" horizontalDpi="4294967292"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732FA-A9CA-4E1D-8105-35576567153B}">
  <dimension ref="A1:Q121"/>
  <sheetViews>
    <sheetView view="pageBreakPreview" topLeftCell="A98" zoomScale="75" zoomScaleNormal="64" workbookViewId="0">
      <selection activeCell="F107" sqref="F107"/>
    </sheetView>
  </sheetViews>
  <sheetFormatPr defaultRowHeight="21" x14ac:dyDescent="0.3"/>
  <cols>
    <col min="1" max="1" width="9.109375" style="1"/>
    <col min="2" max="2" width="58.33203125" style="1" customWidth="1"/>
    <col min="3" max="3" width="81" style="1" customWidth="1"/>
    <col min="4" max="4" width="73.109375" style="1" customWidth="1"/>
    <col min="5" max="5" width="27.6640625" style="1" customWidth="1"/>
    <col min="6" max="6" width="13.77734375" style="1" customWidth="1"/>
    <col min="7" max="7" width="14.5546875" style="1" customWidth="1"/>
    <col min="8" max="8" width="22.6640625" style="1" customWidth="1"/>
    <col min="9" max="9" width="15.5546875" style="1" customWidth="1"/>
    <col min="10" max="10" width="23" style="1" customWidth="1"/>
    <col min="11" max="11" width="16.6640625" style="1" customWidth="1"/>
    <col min="12" max="16" width="9.109375" style="1"/>
  </cols>
  <sheetData>
    <row r="1" spans="1:5" x14ac:dyDescent="0.3">
      <c r="A1" s="246" t="s">
        <v>0</v>
      </c>
      <c r="B1" s="246"/>
      <c r="D1" s="2"/>
    </row>
    <row r="3" spans="1:5" ht="40.799999999999997" x14ac:dyDescent="0.3">
      <c r="A3" s="3" t="s">
        <v>1</v>
      </c>
      <c r="B3" s="54" t="s">
        <v>2</v>
      </c>
      <c r="C3" s="300" t="s">
        <v>616</v>
      </c>
      <c r="D3" s="300"/>
      <c r="E3" s="300"/>
    </row>
    <row r="4" spans="1:5" x14ac:dyDescent="0.3">
      <c r="D4" s="22"/>
    </row>
    <row r="5" spans="1:5" x14ac:dyDescent="0.3">
      <c r="A5" s="62">
        <v>1</v>
      </c>
      <c r="B5" s="63" t="s">
        <v>3</v>
      </c>
      <c r="C5" s="247" t="s">
        <v>529</v>
      </c>
      <c r="D5" s="248"/>
      <c r="E5" s="249"/>
    </row>
    <row r="6" spans="1:5" x14ac:dyDescent="0.3">
      <c r="A6" s="3"/>
      <c r="B6" s="250" t="s">
        <v>4</v>
      </c>
      <c r="C6" s="251"/>
      <c r="D6" s="252"/>
      <c r="E6" s="10"/>
    </row>
    <row r="7" spans="1:5" x14ac:dyDescent="0.3">
      <c r="A7" s="3"/>
      <c r="B7" s="2"/>
      <c r="D7" s="22"/>
    </row>
    <row r="8" spans="1:5" x14ac:dyDescent="0.3">
      <c r="A8" s="3">
        <v>2</v>
      </c>
      <c r="B8" s="63" t="s">
        <v>5</v>
      </c>
      <c r="C8" s="12" t="s">
        <v>615</v>
      </c>
      <c r="D8" s="22"/>
    </row>
    <row r="9" spans="1:5" x14ac:dyDescent="0.3">
      <c r="A9" s="3"/>
      <c r="B9" s="250" t="s">
        <v>4</v>
      </c>
      <c r="C9" s="251"/>
      <c r="D9" s="252"/>
    </row>
    <row r="10" spans="1:5" x14ac:dyDescent="0.3">
      <c r="A10" s="3"/>
      <c r="B10" s="2"/>
      <c r="D10" s="22"/>
    </row>
    <row r="11" spans="1:5" ht="40.799999999999997" x14ac:dyDescent="0.3">
      <c r="A11" s="3">
        <v>3</v>
      </c>
      <c r="B11" s="63" t="s">
        <v>6</v>
      </c>
      <c r="C11" s="247" t="s">
        <v>90</v>
      </c>
      <c r="D11" s="248"/>
      <c r="E11" s="249"/>
    </row>
    <row r="12" spans="1:5" x14ac:dyDescent="0.3">
      <c r="A12" s="3"/>
      <c r="B12" s="250" t="s">
        <v>4</v>
      </c>
      <c r="C12" s="251"/>
      <c r="D12" s="252"/>
      <c r="E12" s="10"/>
    </row>
    <row r="13" spans="1:5" x14ac:dyDescent="0.3">
      <c r="A13" s="3"/>
      <c r="B13" s="2"/>
      <c r="D13" s="22"/>
    </row>
    <row r="14" spans="1:5" x14ac:dyDescent="0.3">
      <c r="A14" s="3">
        <v>4</v>
      </c>
      <c r="B14" s="54" t="s">
        <v>92</v>
      </c>
      <c r="C14" s="247" t="s">
        <v>464</v>
      </c>
      <c r="D14" s="248"/>
      <c r="E14" s="249"/>
    </row>
    <row r="15" spans="1:5" x14ac:dyDescent="0.3">
      <c r="A15" s="3"/>
      <c r="B15" s="250" t="s">
        <v>4</v>
      </c>
      <c r="C15" s="251"/>
      <c r="D15" s="252"/>
    </row>
    <row r="16" spans="1:5" x14ac:dyDescent="0.3">
      <c r="A16" s="3">
        <v>4</v>
      </c>
      <c r="B16" s="54" t="s">
        <v>7</v>
      </c>
      <c r="C16" s="5" t="s">
        <v>617</v>
      </c>
      <c r="D16" s="22"/>
    </row>
    <row r="17" spans="1:14" x14ac:dyDescent="0.3">
      <c r="A17" s="3"/>
      <c r="B17" s="253" t="s">
        <v>8</v>
      </c>
      <c r="C17" s="254"/>
      <c r="D17" s="22"/>
    </row>
    <row r="18" spans="1:14" x14ac:dyDescent="0.3">
      <c r="A18" s="3"/>
      <c r="D18" s="22"/>
    </row>
    <row r="19" spans="1:14" x14ac:dyDescent="0.3">
      <c r="A19" s="3">
        <v>5</v>
      </c>
      <c r="B19" s="255" t="s">
        <v>9</v>
      </c>
      <c r="C19" s="256"/>
      <c r="D19" s="256"/>
      <c r="E19" s="257"/>
      <c r="F19" s="2"/>
      <c r="G19" s="2"/>
      <c r="H19" s="2"/>
      <c r="I19" s="2"/>
      <c r="J19" s="10"/>
      <c r="K19" s="10"/>
      <c r="L19" s="10"/>
      <c r="M19" s="10"/>
      <c r="N19" s="10"/>
    </row>
    <row r="20" spans="1:14" x14ac:dyDescent="0.3">
      <c r="A20" s="3"/>
      <c r="B20" s="65" t="s">
        <v>10</v>
      </c>
      <c r="C20" s="454">
        <v>8.3099999999999993E-2</v>
      </c>
      <c r="D20" s="455"/>
      <c r="E20" s="456"/>
      <c r="F20" s="66"/>
      <c r="G20" s="10"/>
      <c r="H20" s="10"/>
      <c r="I20" s="10"/>
      <c r="J20" s="10"/>
      <c r="K20" s="10"/>
      <c r="L20" s="10"/>
      <c r="M20" s="10"/>
      <c r="N20" s="10"/>
    </row>
    <row r="21" spans="1:14" ht="61.2" x14ac:dyDescent="0.3">
      <c r="A21" s="3"/>
      <c r="B21" s="65" t="s">
        <v>595</v>
      </c>
      <c r="C21" s="243">
        <v>2.64E-2</v>
      </c>
      <c r="D21" s="439"/>
      <c r="E21" s="440"/>
      <c r="F21" s="66"/>
      <c r="G21" s="10"/>
      <c r="I21" s="10"/>
      <c r="J21" s="10"/>
      <c r="K21" s="10"/>
      <c r="L21" s="10"/>
      <c r="M21" s="10"/>
      <c r="N21" s="10"/>
    </row>
    <row r="22" spans="1:14" x14ac:dyDescent="0.3">
      <c r="A22" s="3"/>
      <c r="B22" s="65" t="s">
        <v>474</v>
      </c>
      <c r="C22" s="244">
        <v>8.0000000000000004E-4</v>
      </c>
      <c r="D22" s="244"/>
      <c r="E22" s="244"/>
      <c r="F22" s="66"/>
      <c r="G22" s="10"/>
      <c r="H22" s="10"/>
      <c r="I22" s="10"/>
      <c r="J22" s="10"/>
      <c r="K22" s="10"/>
      <c r="L22" s="10"/>
      <c r="M22" s="10"/>
      <c r="N22" s="10"/>
    </row>
    <row r="23" spans="1:14" x14ac:dyDescent="0.3">
      <c r="A23" s="3"/>
      <c r="B23" s="64" t="s">
        <v>475</v>
      </c>
      <c r="C23" s="369">
        <v>1.6000000000000001E-3</v>
      </c>
      <c r="D23" s="370"/>
      <c r="E23" s="371"/>
      <c r="F23" s="66"/>
      <c r="G23" s="10"/>
      <c r="H23" s="10"/>
      <c r="I23" s="10"/>
      <c r="J23" s="10"/>
      <c r="K23" s="10"/>
      <c r="L23" s="10"/>
      <c r="M23" s="10"/>
      <c r="N23" s="10"/>
    </row>
    <row r="24" spans="1:14" x14ac:dyDescent="0.3">
      <c r="A24" s="3"/>
      <c r="B24" s="67" t="s">
        <v>476</v>
      </c>
      <c r="C24" s="401" t="s">
        <v>15</v>
      </c>
      <c r="D24" s="401"/>
      <c r="E24" s="401"/>
      <c r="F24" s="66"/>
      <c r="G24" s="10"/>
      <c r="H24" s="10"/>
      <c r="I24" s="10"/>
      <c r="J24" s="10"/>
      <c r="K24" s="10"/>
      <c r="L24" s="10"/>
      <c r="M24" s="10"/>
      <c r="N24" s="10"/>
    </row>
    <row r="25" spans="1:14" x14ac:dyDescent="0.3">
      <c r="A25" s="3"/>
      <c r="B25" s="66" t="s">
        <v>64</v>
      </c>
      <c r="C25" s="66"/>
      <c r="D25" s="66"/>
      <c r="E25" s="66"/>
      <c r="F25" s="66"/>
      <c r="G25" s="10"/>
      <c r="H25" s="10"/>
      <c r="I25" s="10"/>
      <c r="J25" s="10"/>
      <c r="K25" s="10"/>
      <c r="L25" s="10"/>
      <c r="M25" s="10"/>
      <c r="N25" s="10"/>
    </row>
    <row r="26" spans="1:14" x14ac:dyDescent="0.3">
      <c r="A26" s="3">
        <v>6</v>
      </c>
      <c r="B26" s="261" t="s">
        <v>74</v>
      </c>
      <c r="C26" s="262"/>
      <c r="D26" s="262"/>
      <c r="E26" s="263"/>
      <c r="F26" s="2"/>
      <c r="G26" s="2"/>
      <c r="H26" s="10"/>
      <c r="I26" s="2"/>
      <c r="J26" s="2"/>
    </row>
    <row r="27" spans="1:14" x14ac:dyDescent="0.3">
      <c r="A27" s="3"/>
      <c r="B27" s="264" t="s">
        <v>462</v>
      </c>
      <c r="C27" s="265"/>
      <c r="D27" s="265"/>
      <c r="E27" s="266"/>
      <c r="F27" s="66"/>
    </row>
    <row r="28" spans="1:14" x14ac:dyDescent="0.3">
      <c r="A28" s="3"/>
      <c r="B28" s="67" t="s">
        <v>693</v>
      </c>
      <c r="C28" s="25" t="s">
        <v>477</v>
      </c>
      <c r="D28" s="25" t="s">
        <v>478</v>
      </c>
      <c r="E28" s="25" t="s">
        <v>479</v>
      </c>
      <c r="F28" s="66"/>
    </row>
    <row r="29" spans="1:14" x14ac:dyDescent="0.3">
      <c r="A29" s="3"/>
      <c r="B29" s="68" t="s">
        <v>21</v>
      </c>
      <c r="C29" s="175">
        <v>58179.38</v>
      </c>
      <c r="D29" s="175">
        <v>55428.11</v>
      </c>
      <c r="E29" s="267" t="s">
        <v>22</v>
      </c>
      <c r="F29" s="66"/>
    </row>
    <row r="30" spans="1:14" x14ac:dyDescent="0.3">
      <c r="A30" s="3"/>
      <c r="B30" s="68" t="s">
        <v>23</v>
      </c>
      <c r="C30" s="175">
        <v>5674.98</v>
      </c>
      <c r="D30" s="175">
        <v>3965.21</v>
      </c>
      <c r="E30" s="268"/>
      <c r="F30" s="66"/>
    </row>
    <row r="31" spans="1:14" x14ac:dyDescent="0.3">
      <c r="A31" s="3"/>
      <c r="B31" s="68" t="s">
        <v>24</v>
      </c>
      <c r="C31" s="175">
        <v>4658.09</v>
      </c>
      <c r="D31" s="175">
        <v>4658.09</v>
      </c>
      <c r="E31" s="268"/>
      <c r="F31" s="66"/>
      <c r="H31" s="57"/>
    </row>
    <row r="32" spans="1:14" x14ac:dyDescent="0.3">
      <c r="A32" s="3"/>
      <c r="B32" s="68" t="s">
        <v>25</v>
      </c>
      <c r="C32" s="175">
        <v>36026.800000000003</v>
      </c>
      <c r="D32" s="175">
        <v>39500.42</v>
      </c>
      <c r="E32" s="269"/>
      <c r="F32" s="66"/>
    </row>
    <row r="33" spans="1:10" x14ac:dyDescent="0.3">
      <c r="A33" s="3"/>
      <c r="B33" s="253" t="s">
        <v>191</v>
      </c>
      <c r="C33" s="270"/>
      <c r="D33" s="270"/>
      <c r="E33" s="254"/>
      <c r="F33" s="66"/>
    </row>
    <row r="34" spans="1:10" x14ac:dyDescent="0.3">
      <c r="A34" s="3"/>
      <c r="B34" s="10"/>
      <c r="C34" s="66"/>
      <c r="D34" s="66"/>
      <c r="E34" s="66"/>
      <c r="F34" s="66"/>
    </row>
    <row r="35" spans="1:10" x14ac:dyDescent="0.3">
      <c r="A35" s="3">
        <v>7</v>
      </c>
      <c r="B35" s="261" t="s">
        <v>26</v>
      </c>
      <c r="C35" s="262"/>
      <c r="D35" s="262"/>
      <c r="E35" s="263"/>
      <c r="F35" s="2"/>
      <c r="G35" s="2"/>
      <c r="H35" s="2"/>
      <c r="I35" s="2"/>
      <c r="J35" s="2"/>
    </row>
    <row r="36" spans="1:10" x14ac:dyDescent="0.3">
      <c r="A36" s="3"/>
      <c r="B36" s="310" t="s">
        <v>618</v>
      </c>
      <c r="C36" s="310"/>
      <c r="D36" s="310"/>
      <c r="E36" s="310"/>
      <c r="F36" s="2"/>
      <c r="G36" s="2"/>
      <c r="H36" s="2"/>
      <c r="I36" s="2"/>
      <c r="J36" s="2"/>
    </row>
    <row r="37" spans="1:10" x14ac:dyDescent="0.3">
      <c r="A37" s="3"/>
      <c r="B37" s="147" t="s">
        <v>247</v>
      </c>
      <c r="C37" s="27" t="s">
        <v>93</v>
      </c>
      <c r="D37" s="130"/>
      <c r="E37" s="130"/>
      <c r="F37" s="10"/>
    </row>
    <row r="38" spans="1:10" x14ac:dyDescent="0.3">
      <c r="A38" s="3"/>
      <c r="B38" s="67" t="s">
        <v>28</v>
      </c>
      <c r="C38" s="27" t="s">
        <v>93</v>
      </c>
      <c r="D38" s="10"/>
      <c r="E38" s="10"/>
      <c r="F38" s="10"/>
    </row>
    <row r="39" spans="1:10" x14ac:dyDescent="0.3">
      <c r="A39" s="3"/>
      <c r="B39" s="67" t="s">
        <v>29</v>
      </c>
      <c r="C39" s="27" t="s">
        <v>15</v>
      </c>
      <c r="D39" s="10"/>
      <c r="E39" s="10"/>
      <c r="F39" s="10"/>
    </row>
    <row r="40" spans="1:10" x14ac:dyDescent="0.3">
      <c r="A40" s="3"/>
      <c r="B40" s="271" t="s">
        <v>619</v>
      </c>
      <c r="C40" s="271"/>
      <c r="D40" s="271"/>
      <c r="E40" s="10"/>
      <c r="F40" s="10"/>
    </row>
    <row r="41" spans="1:10" x14ac:dyDescent="0.3">
      <c r="A41" s="3"/>
      <c r="B41" s="66"/>
      <c r="C41" s="10"/>
      <c r="D41" s="10"/>
      <c r="E41" s="10"/>
      <c r="F41" s="10"/>
    </row>
    <row r="42" spans="1:10" x14ac:dyDescent="0.3">
      <c r="A42" s="3">
        <v>8</v>
      </c>
      <c r="B42" s="261" t="s">
        <v>30</v>
      </c>
      <c r="C42" s="262"/>
      <c r="D42" s="262"/>
      <c r="E42" s="263"/>
      <c r="F42" s="2"/>
      <c r="G42" s="2"/>
      <c r="H42" s="2"/>
      <c r="I42" s="2"/>
      <c r="J42" s="2"/>
    </row>
    <row r="43" spans="1:10" x14ac:dyDescent="0.3">
      <c r="A43" s="3"/>
      <c r="B43" s="67" t="s">
        <v>31</v>
      </c>
      <c r="C43" s="258" t="s">
        <v>694</v>
      </c>
      <c r="D43" s="259"/>
      <c r="E43" s="260"/>
      <c r="F43" s="10"/>
    </row>
    <row r="44" spans="1:10" ht="43.2" customHeight="1" x14ac:dyDescent="0.3">
      <c r="A44" s="3"/>
      <c r="B44" s="67" t="s">
        <v>28</v>
      </c>
      <c r="C44" s="258" t="s">
        <v>928</v>
      </c>
      <c r="D44" s="259"/>
      <c r="E44" s="260"/>
      <c r="F44" s="10"/>
    </row>
    <row r="45" spans="1:10" x14ac:dyDescent="0.3">
      <c r="A45" s="3"/>
      <c r="B45" s="67" t="s">
        <v>29</v>
      </c>
      <c r="C45" s="258" t="s">
        <v>15</v>
      </c>
      <c r="D45" s="259"/>
      <c r="E45" s="260"/>
      <c r="F45" s="10"/>
    </row>
    <row r="46" spans="1:10" x14ac:dyDescent="0.3">
      <c r="A46" s="3"/>
      <c r="B46" s="253" t="s">
        <v>198</v>
      </c>
      <c r="C46" s="270"/>
      <c r="D46" s="270"/>
      <c r="E46" s="254"/>
      <c r="F46" s="10"/>
    </row>
    <row r="47" spans="1:10" x14ac:dyDescent="0.3">
      <c r="A47" s="3"/>
      <c r="D47" s="22"/>
      <c r="E47" s="10"/>
    </row>
    <row r="48" spans="1:10" x14ac:dyDescent="0.3">
      <c r="A48" s="191">
        <v>9</v>
      </c>
      <c r="B48" s="262" t="s">
        <v>32</v>
      </c>
      <c r="C48" s="262"/>
      <c r="D48" s="262"/>
      <c r="E48" s="263"/>
      <c r="F48" s="2"/>
      <c r="G48" s="2"/>
      <c r="H48" s="2"/>
      <c r="I48" s="2"/>
    </row>
    <row r="49" spans="1:16" ht="81.599999999999994" x14ac:dyDescent="0.3">
      <c r="A49" s="191"/>
      <c r="B49" s="24" t="s">
        <v>33</v>
      </c>
      <c r="C49" s="25" t="s">
        <v>34</v>
      </c>
      <c r="D49" s="25" t="s">
        <v>96</v>
      </c>
      <c r="E49" s="25" t="s">
        <v>35</v>
      </c>
    </row>
    <row r="50" spans="1:16" ht="137.25" customHeight="1" x14ac:dyDescent="0.3">
      <c r="A50" s="191"/>
      <c r="B50" s="195" t="s">
        <v>894</v>
      </c>
      <c r="C50" s="68" t="s">
        <v>895</v>
      </c>
      <c r="D50" s="68" t="s">
        <v>932</v>
      </c>
      <c r="E50" s="27" t="s">
        <v>121</v>
      </c>
    </row>
    <row r="51" spans="1:16" ht="22.2" customHeight="1" x14ac:dyDescent="0.3">
      <c r="A51" s="191"/>
      <c r="B51" s="242"/>
      <c r="C51" s="242"/>
      <c r="D51" s="270"/>
      <c r="E51" s="254"/>
    </row>
    <row r="52" spans="1:16" ht="44.4" customHeight="1" x14ac:dyDescent="0.3">
      <c r="A52" s="191"/>
      <c r="B52" s="458" t="s">
        <v>933</v>
      </c>
      <c r="C52" s="459"/>
      <c r="D52" s="459"/>
      <c r="E52" s="459"/>
    </row>
    <row r="53" spans="1:16" x14ac:dyDescent="0.3">
      <c r="A53" s="191"/>
      <c r="B53" s="28"/>
      <c r="C53" s="22"/>
      <c r="D53" s="22"/>
      <c r="E53" s="22"/>
      <c r="F53" s="66"/>
      <c r="G53" s="66"/>
      <c r="H53" s="66"/>
      <c r="I53" s="66"/>
    </row>
    <row r="54" spans="1:16" x14ac:dyDescent="0.3">
      <c r="A54" s="191">
        <v>10</v>
      </c>
      <c r="B54" s="262" t="s">
        <v>32</v>
      </c>
      <c r="C54" s="262"/>
      <c r="D54" s="262"/>
      <c r="E54" s="263"/>
      <c r="F54" s="66"/>
      <c r="G54" s="66"/>
      <c r="H54" s="66"/>
    </row>
    <row r="55" spans="1:16" x14ac:dyDescent="0.3">
      <c r="A55" s="191"/>
      <c r="B55" s="275" t="s">
        <v>36</v>
      </c>
      <c r="C55" s="277" t="s">
        <v>896</v>
      </c>
      <c r="D55" s="278"/>
      <c r="E55" s="279"/>
      <c r="K55" s="2"/>
    </row>
    <row r="56" spans="1:16" ht="75.599999999999994" customHeight="1" x14ac:dyDescent="0.3">
      <c r="A56" s="191"/>
      <c r="B56" s="276"/>
      <c r="C56" s="280"/>
      <c r="D56" s="281"/>
      <c r="E56" s="282"/>
      <c r="K56" s="2"/>
    </row>
    <row r="57" spans="1:16" ht="81" customHeight="1" x14ac:dyDescent="0.3">
      <c r="A57" s="191"/>
      <c r="B57" s="29" t="s">
        <v>37</v>
      </c>
      <c r="C57" s="283" t="s">
        <v>929</v>
      </c>
      <c r="D57" s="284"/>
      <c r="E57" s="285"/>
    </row>
    <row r="58" spans="1:16" x14ac:dyDescent="0.3">
      <c r="A58" s="191"/>
      <c r="B58" s="29" t="s">
        <v>38</v>
      </c>
      <c r="C58" s="286" t="s">
        <v>121</v>
      </c>
      <c r="D58" s="287"/>
      <c r="E58" s="288"/>
      <c r="K58" s="30"/>
    </row>
    <row r="59" spans="1:16" x14ac:dyDescent="0.3">
      <c r="A59" s="191"/>
      <c r="B59" s="308"/>
      <c r="C59" s="308"/>
      <c r="D59" s="308"/>
      <c r="E59" s="249"/>
      <c r="K59" s="30"/>
    </row>
    <row r="60" spans="1:16" ht="42.6" customHeight="1" x14ac:dyDescent="0.4">
      <c r="A60" s="111" t="s">
        <v>39</v>
      </c>
      <c r="B60" s="441" t="s">
        <v>931</v>
      </c>
      <c r="C60" s="441"/>
      <c r="D60" s="441"/>
      <c r="E60" s="354"/>
      <c r="F60" s="32"/>
      <c r="G60" s="32"/>
      <c r="H60" s="32"/>
      <c r="I60" s="32"/>
      <c r="J60" s="32"/>
      <c r="K60" s="32"/>
      <c r="L60" s="32"/>
      <c r="M60" s="32"/>
      <c r="N60" s="32"/>
      <c r="O60" s="32"/>
      <c r="P60" s="32"/>
    </row>
    <row r="61" spans="1:16" ht="100.8" customHeight="1" x14ac:dyDescent="0.4">
      <c r="A61" s="3"/>
      <c r="B61" s="355" t="s">
        <v>930</v>
      </c>
      <c r="C61" s="355"/>
      <c r="D61" s="355"/>
      <c r="E61" s="355"/>
      <c r="F61" s="73"/>
    </row>
    <row r="62" spans="1:16" x14ac:dyDescent="0.3">
      <c r="A62" s="3">
        <v>11</v>
      </c>
      <c r="B62" s="54" t="s">
        <v>41</v>
      </c>
      <c r="C62" s="270" t="s">
        <v>121</v>
      </c>
      <c r="D62" s="270"/>
      <c r="E62" s="270"/>
      <c r="F62" s="2"/>
      <c r="G62" s="2"/>
      <c r="H62" s="74"/>
      <c r="I62" s="2"/>
      <c r="J62" s="2"/>
    </row>
    <row r="63" spans="1:16" x14ac:dyDescent="0.3">
      <c r="A63" s="3"/>
      <c r="B63" s="66"/>
      <c r="C63" s="270"/>
      <c r="D63" s="270"/>
      <c r="E63" s="270"/>
      <c r="F63" s="66"/>
      <c r="G63" s="66"/>
      <c r="H63" s="75"/>
      <c r="I63" s="75"/>
      <c r="J63" s="66"/>
    </row>
    <row r="64" spans="1:16" x14ac:dyDescent="0.3">
      <c r="A64" s="76">
        <v>12</v>
      </c>
      <c r="B64" s="77" t="s">
        <v>42</v>
      </c>
      <c r="C64" s="272"/>
      <c r="D64" s="273"/>
      <c r="E64" s="274"/>
      <c r="F64" s="78"/>
      <c r="G64" s="79"/>
      <c r="H64" s="79"/>
      <c r="I64" s="79"/>
      <c r="J64" s="79"/>
      <c r="K64" s="79"/>
      <c r="L64" s="79"/>
      <c r="M64" s="79"/>
      <c r="N64" s="79"/>
      <c r="O64" s="42"/>
      <c r="P64" s="42"/>
    </row>
    <row r="65" spans="1:14" x14ac:dyDescent="0.3">
      <c r="A65" s="3"/>
      <c r="B65" s="2"/>
      <c r="C65" s="2"/>
      <c r="D65" s="2"/>
      <c r="E65" s="74"/>
      <c r="F65" s="74"/>
      <c r="G65" s="74"/>
      <c r="H65" s="2"/>
      <c r="I65" s="2"/>
      <c r="J65" s="2"/>
      <c r="K65" s="2"/>
      <c r="L65" s="2"/>
      <c r="M65" s="2"/>
      <c r="N65" s="2"/>
    </row>
    <row r="66" spans="1:14" x14ac:dyDescent="0.3">
      <c r="A66" s="3"/>
      <c r="B66" s="67" t="s">
        <v>43</v>
      </c>
      <c r="C66" s="68" t="s">
        <v>620</v>
      </c>
      <c r="D66" s="66"/>
      <c r="E66" s="66"/>
      <c r="F66" s="75"/>
      <c r="G66" s="75"/>
      <c r="H66" s="66"/>
      <c r="I66" s="66"/>
      <c r="J66" s="66"/>
      <c r="K66" s="66"/>
      <c r="L66" s="66"/>
      <c r="M66" s="66"/>
      <c r="N66" s="66"/>
    </row>
    <row r="67" spans="1:14" x14ac:dyDescent="0.3">
      <c r="A67" s="3"/>
      <c r="B67" s="66"/>
      <c r="C67" s="66"/>
      <c r="D67" s="66"/>
      <c r="E67" s="66"/>
      <c r="F67" s="66"/>
      <c r="G67" s="66"/>
      <c r="H67" s="66"/>
      <c r="I67" s="66"/>
      <c r="J67" s="66"/>
      <c r="K67" s="66"/>
      <c r="L67" s="66"/>
      <c r="M67" s="66"/>
      <c r="N67" s="66"/>
    </row>
    <row r="68" spans="1:14" x14ac:dyDescent="0.3">
      <c r="A68" s="3"/>
      <c r="B68" s="295" t="s">
        <v>44</v>
      </c>
      <c r="C68" s="295" t="s">
        <v>621</v>
      </c>
      <c r="D68" s="295" t="s">
        <v>68</v>
      </c>
      <c r="E68" s="297" t="s">
        <v>45</v>
      </c>
      <c r="F68" s="292" t="s">
        <v>254</v>
      </c>
      <c r="G68" s="293"/>
      <c r="H68" s="294"/>
      <c r="I68" s="292" t="s">
        <v>255</v>
      </c>
      <c r="J68" s="293"/>
      <c r="K68" s="294"/>
      <c r="L68" s="292" t="s">
        <v>197</v>
      </c>
      <c r="M68" s="293"/>
      <c r="N68" s="294"/>
    </row>
    <row r="69" spans="1:14" ht="81.599999999999994" x14ac:dyDescent="0.3">
      <c r="A69" s="3"/>
      <c r="B69" s="296"/>
      <c r="C69" s="296"/>
      <c r="D69" s="296"/>
      <c r="E69" s="298"/>
      <c r="F69" s="67" t="s">
        <v>46</v>
      </c>
      <c r="G69" s="67" t="s">
        <v>47</v>
      </c>
      <c r="H69" s="67" t="s">
        <v>48</v>
      </c>
      <c r="I69" s="67" t="s">
        <v>49</v>
      </c>
      <c r="J69" s="67" t="s">
        <v>47</v>
      </c>
      <c r="K69" s="67" t="s">
        <v>48</v>
      </c>
      <c r="L69" s="67" t="s">
        <v>49</v>
      </c>
      <c r="M69" s="67" t="s">
        <v>47</v>
      </c>
      <c r="N69" s="67" t="s">
        <v>48</v>
      </c>
    </row>
    <row r="70" spans="1:14" ht="20.25" customHeight="1" x14ac:dyDescent="0.3">
      <c r="A70" s="3"/>
      <c r="B70" s="67" t="s">
        <v>66</v>
      </c>
      <c r="C70" s="82">
        <v>161.94999999999999</v>
      </c>
      <c r="D70" s="82">
        <v>155.91999999999999</v>
      </c>
      <c r="E70" s="121">
        <v>164.78</v>
      </c>
      <c r="F70" s="121">
        <v>143.07</v>
      </c>
      <c r="G70" s="121">
        <v>214</v>
      </c>
      <c r="H70" s="121">
        <v>131.31</v>
      </c>
      <c r="I70" s="121">
        <v>53.65</v>
      </c>
      <c r="J70" s="121">
        <v>185.6</v>
      </c>
      <c r="K70" s="121">
        <v>51.51</v>
      </c>
      <c r="L70" s="345" t="s">
        <v>108</v>
      </c>
      <c r="M70" s="346"/>
      <c r="N70" s="347"/>
    </row>
    <row r="71" spans="1:14" ht="40.799999999999997" x14ac:dyDescent="0.3">
      <c r="A71" s="3"/>
      <c r="B71" s="69" t="s">
        <v>67</v>
      </c>
      <c r="C71" s="82">
        <v>24339.15</v>
      </c>
      <c r="D71" s="82">
        <v>24194.5</v>
      </c>
      <c r="E71" s="121">
        <v>22786.9</v>
      </c>
      <c r="F71" s="121">
        <v>23519.35</v>
      </c>
      <c r="G71" s="121">
        <v>26277.35</v>
      </c>
      <c r="H71" s="121">
        <v>21281.45</v>
      </c>
      <c r="I71" s="121">
        <v>22331.4</v>
      </c>
      <c r="J71" s="121">
        <v>26373.200000000001</v>
      </c>
      <c r="K71" s="121">
        <v>21743.65</v>
      </c>
      <c r="L71" s="348"/>
      <c r="M71" s="349"/>
      <c r="N71" s="350"/>
    </row>
    <row r="72" spans="1:14" x14ac:dyDescent="0.3">
      <c r="A72" s="3"/>
      <c r="B72" s="253" t="s">
        <v>99</v>
      </c>
      <c r="C72" s="270"/>
      <c r="D72" s="270"/>
      <c r="E72" s="270"/>
      <c r="F72" s="270"/>
      <c r="G72" s="270"/>
      <c r="H72" s="270"/>
      <c r="I72" s="270"/>
      <c r="J72" s="270"/>
      <c r="K72" s="270"/>
      <c r="L72" s="270"/>
      <c r="M72" s="270"/>
      <c r="N72" s="254"/>
    </row>
    <row r="73" spans="1:14" x14ac:dyDescent="0.3">
      <c r="A73" s="3"/>
      <c r="B73" s="253" t="s">
        <v>84</v>
      </c>
      <c r="C73" s="270"/>
      <c r="D73" s="270"/>
      <c r="E73" s="270"/>
      <c r="F73" s="254"/>
      <c r="G73" s="83"/>
      <c r="H73" s="83"/>
      <c r="I73" s="83"/>
      <c r="J73" s="83"/>
      <c r="K73" s="83"/>
      <c r="L73" s="83"/>
      <c r="M73" s="83"/>
      <c r="N73" s="83"/>
    </row>
    <row r="74" spans="1:14" x14ac:dyDescent="0.3">
      <c r="A74" s="3"/>
      <c r="B74" s="253" t="s">
        <v>70</v>
      </c>
      <c r="C74" s="270"/>
      <c r="D74" s="270"/>
      <c r="E74" s="270"/>
      <c r="F74" s="254"/>
      <c r="G74" s="83"/>
      <c r="H74" s="83"/>
      <c r="I74" s="83"/>
      <c r="J74" s="83"/>
      <c r="K74" s="83"/>
      <c r="L74" s="83"/>
      <c r="M74" s="83"/>
      <c r="N74" s="83"/>
    </row>
    <row r="75" spans="1:14" x14ac:dyDescent="0.3">
      <c r="A75" s="3"/>
      <c r="B75" s="253" t="s">
        <v>71</v>
      </c>
      <c r="C75" s="270"/>
      <c r="D75" s="270"/>
      <c r="E75" s="270"/>
      <c r="F75" s="254"/>
      <c r="G75" s="83"/>
      <c r="H75" s="83"/>
      <c r="I75" s="83"/>
      <c r="J75" s="83"/>
      <c r="K75" s="83"/>
      <c r="L75" s="83"/>
      <c r="M75" s="83"/>
      <c r="N75" s="83"/>
    </row>
    <row r="76" spans="1:14" x14ac:dyDescent="0.3">
      <c r="A76" s="3"/>
      <c r="B76" s="270" t="s">
        <v>641</v>
      </c>
      <c r="C76" s="270"/>
      <c r="D76" s="84"/>
      <c r="E76" s="84"/>
      <c r="F76" s="84"/>
      <c r="G76" s="10"/>
      <c r="H76" s="10"/>
      <c r="I76" s="10"/>
      <c r="J76" s="10"/>
      <c r="K76" s="10"/>
      <c r="L76" s="10"/>
      <c r="M76" s="10"/>
      <c r="N76" s="10"/>
    </row>
    <row r="77" spans="1:14" x14ac:dyDescent="0.3">
      <c r="A77" s="3">
        <v>13</v>
      </c>
      <c r="B77" s="261" t="s">
        <v>51</v>
      </c>
      <c r="C77" s="262"/>
      <c r="D77" s="262"/>
      <c r="E77" s="262"/>
      <c r="F77" s="262"/>
      <c r="G77" s="263"/>
      <c r="H77" s="2"/>
      <c r="I77" s="2"/>
      <c r="J77" s="2"/>
      <c r="K77" s="2"/>
      <c r="L77" s="2"/>
      <c r="M77" s="2"/>
      <c r="N77" s="2"/>
    </row>
    <row r="78" spans="1:14" x14ac:dyDescent="0.3">
      <c r="A78" s="3"/>
      <c r="C78" s="66"/>
      <c r="D78" s="66"/>
      <c r="E78" s="66"/>
      <c r="F78" s="66"/>
      <c r="G78" s="66"/>
      <c r="H78" s="66"/>
      <c r="I78" s="66"/>
      <c r="J78" s="66"/>
      <c r="K78" s="66"/>
      <c r="L78" s="66"/>
      <c r="M78" s="66"/>
      <c r="N78" s="66"/>
    </row>
    <row r="79" spans="1:14" ht="61.2" x14ac:dyDescent="0.3">
      <c r="A79" s="3"/>
      <c r="B79" s="25" t="s">
        <v>52</v>
      </c>
      <c r="C79" s="25" t="s">
        <v>53</v>
      </c>
      <c r="D79" s="25" t="s">
        <v>259</v>
      </c>
      <c r="E79" s="25" t="s">
        <v>54</v>
      </c>
      <c r="F79" s="25" t="s">
        <v>55</v>
      </c>
      <c r="G79" s="25" t="s">
        <v>56</v>
      </c>
      <c r="H79" s="10"/>
      <c r="I79" s="10"/>
      <c r="J79" s="10"/>
      <c r="K79" s="10"/>
      <c r="L79" s="10"/>
      <c r="M79" s="10"/>
      <c r="N79" s="10"/>
    </row>
    <row r="80" spans="1:14" ht="20.25" customHeight="1" x14ac:dyDescent="0.3">
      <c r="A80" s="3"/>
      <c r="B80" s="297" t="s">
        <v>72</v>
      </c>
      <c r="C80" s="54" t="s">
        <v>622</v>
      </c>
      <c r="D80" s="134">
        <v>16.84</v>
      </c>
      <c r="E80" s="88">
        <v>14.04</v>
      </c>
      <c r="F80" s="88">
        <v>8.51</v>
      </c>
      <c r="G80" s="311" t="s">
        <v>83</v>
      </c>
    </row>
    <row r="81" spans="1:17" x14ac:dyDescent="0.3">
      <c r="A81" s="3"/>
      <c r="B81" s="309"/>
      <c r="C81" s="54" t="s">
        <v>623</v>
      </c>
      <c r="D81" s="135"/>
      <c r="E81" s="88"/>
      <c r="F81" s="88"/>
      <c r="G81" s="311"/>
    </row>
    <row r="82" spans="1:17" x14ac:dyDescent="0.3">
      <c r="A82" s="3"/>
      <c r="B82" s="309"/>
      <c r="C82" s="5" t="s">
        <v>695</v>
      </c>
      <c r="D82" s="135">
        <v>9.17</v>
      </c>
      <c r="E82" s="88">
        <v>7.84</v>
      </c>
      <c r="F82" s="88">
        <v>6.58</v>
      </c>
      <c r="G82" s="311"/>
    </row>
    <row r="83" spans="1:17" x14ac:dyDescent="0.3">
      <c r="A83" s="3"/>
      <c r="B83" s="309"/>
      <c r="C83" s="5" t="s">
        <v>697</v>
      </c>
      <c r="D83" s="135">
        <v>56.06</v>
      </c>
      <c r="E83" s="88">
        <v>30.08</v>
      </c>
      <c r="F83" s="88">
        <v>39.46</v>
      </c>
      <c r="G83" s="311"/>
    </row>
    <row r="84" spans="1:17" x14ac:dyDescent="0.3">
      <c r="A84" s="3"/>
      <c r="B84" s="309"/>
      <c r="C84" s="5" t="s">
        <v>699</v>
      </c>
      <c r="D84" s="135">
        <v>34.42</v>
      </c>
      <c r="E84" s="88">
        <v>14.33</v>
      </c>
      <c r="F84" s="88">
        <v>13.19</v>
      </c>
      <c r="G84" s="311"/>
    </row>
    <row r="85" spans="1:17" x14ac:dyDescent="0.3">
      <c r="A85" s="3"/>
      <c r="B85" s="309"/>
      <c r="C85" s="5" t="s">
        <v>701</v>
      </c>
      <c r="D85" s="135">
        <v>15.93</v>
      </c>
      <c r="E85" s="88">
        <v>21.7</v>
      </c>
      <c r="F85" s="88">
        <v>34.79</v>
      </c>
      <c r="G85" s="311"/>
    </row>
    <row r="86" spans="1:17" x14ac:dyDescent="0.3">
      <c r="A86" s="3"/>
      <c r="B86" s="298"/>
      <c r="C86" s="54" t="s">
        <v>295</v>
      </c>
      <c r="D86" s="140">
        <f>SUM(D82:D85)/4</f>
        <v>28.895000000000003</v>
      </c>
      <c r="E86" s="157">
        <f>AVERAGE(E82:E85)</f>
        <v>18.487500000000001</v>
      </c>
      <c r="F86" s="157">
        <f>AVERAGE(F82:F85)</f>
        <v>23.504999999999999</v>
      </c>
      <c r="G86" s="311"/>
    </row>
    <row r="87" spans="1:17" x14ac:dyDescent="0.3">
      <c r="A87" s="3"/>
      <c r="B87" s="297" t="s">
        <v>59</v>
      </c>
      <c r="C87" s="54" t="s">
        <v>622</v>
      </c>
      <c r="D87" s="135">
        <v>12.05</v>
      </c>
      <c r="E87" s="90">
        <f>O87/E80</f>
        <v>10.19017094017094</v>
      </c>
      <c r="F87" s="90">
        <f>I70/F80</f>
        <v>6.3043478260869561</v>
      </c>
      <c r="G87" s="311"/>
      <c r="O87" s="121">
        <v>143.07</v>
      </c>
      <c r="Q87" s="1"/>
    </row>
    <row r="88" spans="1:17" x14ac:dyDescent="0.3">
      <c r="A88" s="3"/>
      <c r="B88" s="309"/>
      <c r="C88" s="54" t="s">
        <v>623</v>
      </c>
      <c r="D88" s="135"/>
      <c r="E88" s="88"/>
      <c r="F88" s="88"/>
      <c r="G88" s="311"/>
      <c r="Q88" s="1"/>
    </row>
    <row r="89" spans="1:17" x14ac:dyDescent="0.3">
      <c r="A89" s="3"/>
      <c r="B89" s="309"/>
      <c r="C89" s="5" t="s">
        <v>624</v>
      </c>
      <c r="D89" s="135">
        <v>24.67</v>
      </c>
      <c r="E89" s="90">
        <f>O89/E82</f>
        <v>19.959183673469386</v>
      </c>
      <c r="F89" s="90">
        <f>115.33/F82</f>
        <v>17.527355623100302</v>
      </c>
      <c r="G89" s="311"/>
      <c r="O89" s="1">
        <v>156.47999999999999</v>
      </c>
      <c r="Q89" s="1"/>
    </row>
    <row r="90" spans="1:17" x14ac:dyDescent="0.3">
      <c r="A90" s="3"/>
      <c r="B90" s="309"/>
      <c r="C90" s="5" t="s">
        <v>625</v>
      </c>
      <c r="D90" s="135">
        <v>19.25</v>
      </c>
      <c r="E90" s="90">
        <f>O90/E83</f>
        <v>27.234042553191493</v>
      </c>
      <c r="F90" s="90">
        <f>655.35/F83</f>
        <v>16.607957425240752</v>
      </c>
      <c r="G90" s="311"/>
      <c r="O90" s="1">
        <v>819.2</v>
      </c>
      <c r="Q90" s="1"/>
    </row>
    <row r="91" spans="1:17" x14ac:dyDescent="0.3">
      <c r="A91" s="3"/>
      <c r="B91" s="309"/>
      <c r="C91" s="5" t="s">
        <v>626</v>
      </c>
      <c r="D91" s="135">
        <v>19.16</v>
      </c>
      <c r="E91" s="90">
        <f>O91/E84</f>
        <v>44.180041870202373</v>
      </c>
      <c r="F91" s="90">
        <f>575.5/F84</f>
        <v>43.631539044730857</v>
      </c>
      <c r="G91" s="311"/>
      <c r="O91" s="1">
        <v>633.1</v>
      </c>
      <c r="Q91" s="1"/>
    </row>
    <row r="92" spans="1:17" x14ac:dyDescent="0.3">
      <c r="A92" s="3"/>
      <c r="B92" s="309"/>
      <c r="C92" s="5" t="s">
        <v>701</v>
      </c>
      <c r="D92" s="135">
        <v>37.04</v>
      </c>
      <c r="E92" s="90">
        <f>O92/E85</f>
        <v>25.682027649769584</v>
      </c>
      <c r="F92" s="90">
        <f>815.25/F85</f>
        <v>23.433457890198333</v>
      </c>
      <c r="G92" s="311"/>
      <c r="O92" s="1">
        <v>557.29999999999995</v>
      </c>
      <c r="Q92" s="1"/>
    </row>
    <row r="93" spans="1:17" ht="40.5" customHeight="1" x14ac:dyDescent="0.3">
      <c r="A93" s="3"/>
      <c r="B93" s="298"/>
      <c r="C93" s="54" t="s">
        <v>295</v>
      </c>
      <c r="D93" s="140">
        <f>SUM(D89:D92)/4</f>
        <v>25.03</v>
      </c>
      <c r="E93" s="140">
        <f>AVERAGE(E89:E92)</f>
        <v>29.263823936658209</v>
      </c>
      <c r="F93" s="140">
        <f>AVERAGE(F89:F92)</f>
        <v>25.300077495817561</v>
      </c>
      <c r="G93" s="311"/>
      <c r="O93" s="1" t="s">
        <v>652</v>
      </c>
      <c r="P93" s="1" t="s">
        <v>645</v>
      </c>
      <c r="Q93" s="1"/>
    </row>
    <row r="94" spans="1:17" x14ac:dyDescent="0.3">
      <c r="A94" s="3"/>
      <c r="B94" s="297" t="s">
        <v>60</v>
      </c>
      <c r="C94" s="54" t="s">
        <v>622</v>
      </c>
      <c r="D94" s="142">
        <v>0.52390000000000003</v>
      </c>
      <c r="E94" s="110">
        <f>O94/P94</f>
        <v>0.13745760901395679</v>
      </c>
      <c r="F94" s="110">
        <v>8.9800000000000005E-2</v>
      </c>
      <c r="G94" s="311"/>
      <c r="O94" s="1">
        <v>5674.98</v>
      </c>
      <c r="P94" s="1">
        <v>41285.31</v>
      </c>
      <c r="Q94" s="1">
        <v>4128531000</v>
      </c>
    </row>
    <row r="95" spans="1:17" x14ac:dyDescent="0.3">
      <c r="A95" s="3"/>
      <c r="B95" s="309"/>
      <c r="C95" s="54" t="s">
        <v>623</v>
      </c>
      <c r="D95" s="5"/>
      <c r="E95" s="88"/>
      <c r="F95" s="88"/>
      <c r="G95" s="311"/>
      <c r="Q95" s="1"/>
    </row>
    <row r="96" spans="1:17" x14ac:dyDescent="0.3">
      <c r="A96" s="3"/>
      <c r="B96" s="309"/>
      <c r="C96" s="5" t="s">
        <v>624</v>
      </c>
      <c r="D96" s="126">
        <v>0.15759999999999999</v>
      </c>
      <c r="E96" s="110">
        <f>O96/P96</f>
        <v>0.11825222888272895</v>
      </c>
      <c r="F96" s="110">
        <v>9.3299999999999994E-2</v>
      </c>
      <c r="G96" s="311"/>
      <c r="O96" s="1">
        <v>73759</v>
      </c>
      <c r="P96" s="1">
        <v>623743</v>
      </c>
      <c r="Q96" s="1">
        <v>62374300000</v>
      </c>
    </row>
    <row r="97" spans="1:17" x14ac:dyDescent="0.3">
      <c r="A97" s="3"/>
      <c r="B97" s="309"/>
      <c r="C97" s="5" t="s">
        <v>625</v>
      </c>
      <c r="D97" s="126">
        <v>0.2344</v>
      </c>
      <c r="E97" s="110">
        <f>O97/P97</f>
        <v>0.11204709128551663</v>
      </c>
      <c r="F97" s="110">
        <v>0.1283</v>
      </c>
      <c r="G97" s="311"/>
      <c r="O97" s="1">
        <v>20151.080000000002</v>
      </c>
      <c r="P97" s="1">
        <v>179844.74</v>
      </c>
      <c r="Q97" s="1">
        <v>17984474000</v>
      </c>
    </row>
    <row r="98" spans="1:17" x14ac:dyDescent="0.3">
      <c r="A98" s="3"/>
      <c r="B98" s="309"/>
      <c r="C98" s="5" t="s">
        <v>626</v>
      </c>
      <c r="D98" s="126">
        <v>0.13550000000000001</v>
      </c>
      <c r="E98" s="110">
        <f>O98/P98</f>
        <v>4.6706757539458743E-2</v>
      </c>
      <c r="F98" s="110">
        <v>4.1500000000000002E-2</v>
      </c>
      <c r="G98" s="311"/>
      <c r="O98" s="58">
        <v>5645.62</v>
      </c>
      <c r="P98" s="1">
        <v>120873.73</v>
      </c>
      <c r="Q98" s="1">
        <v>12087373000</v>
      </c>
    </row>
    <row r="99" spans="1:17" x14ac:dyDescent="0.3">
      <c r="A99" s="3"/>
      <c r="B99" s="309"/>
      <c r="C99" s="5" t="s">
        <v>701</v>
      </c>
      <c r="D99" s="142">
        <v>0.2</v>
      </c>
      <c r="E99" s="110">
        <f>O99/P99</f>
        <v>0.20333966700524916</v>
      </c>
      <c r="F99" s="110">
        <v>0.24909999999999999</v>
      </c>
      <c r="G99" s="311"/>
      <c r="O99" s="1">
        <v>37280.870000000003</v>
      </c>
      <c r="P99" s="1">
        <v>183342.83</v>
      </c>
      <c r="Q99" s="1">
        <v>18334283000</v>
      </c>
    </row>
    <row r="100" spans="1:17" x14ac:dyDescent="0.3">
      <c r="A100" s="3"/>
      <c r="B100" s="298"/>
      <c r="C100" s="54" t="s">
        <v>295</v>
      </c>
      <c r="D100" s="143">
        <f>SUM(D96:D99)/4</f>
        <v>0.18187500000000001</v>
      </c>
      <c r="E100" s="131">
        <f>AVERAGE(E96:E99)</f>
        <v>0.12008643617823836</v>
      </c>
      <c r="F100" s="131">
        <f>AVERAGE(F96:F99)</f>
        <v>0.12805</v>
      </c>
      <c r="G100" s="311"/>
      <c r="Q100" s="1"/>
    </row>
    <row r="101" spans="1:17" x14ac:dyDescent="0.3">
      <c r="A101" s="3"/>
      <c r="B101" s="310" t="s">
        <v>61</v>
      </c>
      <c r="C101" s="54" t="s">
        <v>622</v>
      </c>
      <c r="D101" s="135">
        <v>39.369999999999997</v>
      </c>
      <c r="E101" s="90">
        <f>Q94/P101</f>
        <v>88.631489414321678</v>
      </c>
      <c r="F101" s="90">
        <v>94.8</v>
      </c>
      <c r="G101" s="311"/>
      <c r="P101" s="1">
        <v>46580860</v>
      </c>
      <c r="Q101" s="1"/>
    </row>
    <row r="102" spans="1:17" x14ac:dyDescent="0.3">
      <c r="A102" s="3"/>
      <c r="B102" s="310"/>
      <c r="C102" s="54" t="s">
        <v>623</v>
      </c>
      <c r="D102" s="135"/>
      <c r="E102" s="88"/>
      <c r="F102" s="88"/>
      <c r="G102" s="311"/>
      <c r="Q102" s="1"/>
    </row>
    <row r="103" spans="1:17" ht="63" x14ac:dyDescent="0.3">
      <c r="A103" s="3"/>
      <c r="B103" s="310"/>
      <c r="C103" s="5" t="s">
        <v>624</v>
      </c>
      <c r="D103" s="135">
        <v>61.37</v>
      </c>
      <c r="E103" s="90">
        <f>Q96/P103</f>
        <v>66.319251605507418</v>
      </c>
      <c r="F103" s="88">
        <v>68.52</v>
      </c>
      <c r="G103" s="311"/>
      <c r="O103" s="1" t="s">
        <v>696</v>
      </c>
      <c r="P103" s="1">
        <v>940515740</v>
      </c>
      <c r="Q103" s="1"/>
    </row>
    <row r="104" spans="1:17" ht="42" x14ac:dyDescent="0.3">
      <c r="A104" s="3"/>
      <c r="B104" s="310"/>
      <c r="C104" s="5" t="s">
        <v>625</v>
      </c>
      <c r="D104" s="135">
        <v>239.17</v>
      </c>
      <c r="E104" s="90">
        <f>Q97/P104</f>
        <v>268.4748332376937</v>
      </c>
      <c r="F104" s="88">
        <v>307.51</v>
      </c>
      <c r="G104" s="311"/>
      <c r="O104" s="1" t="s">
        <v>698</v>
      </c>
      <c r="P104" s="1">
        <v>66987560</v>
      </c>
      <c r="Q104" s="1"/>
    </row>
    <row r="105" spans="1:17" ht="42" x14ac:dyDescent="0.3">
      <c r="A105" s="3"/>
      <c r="B105" s="310"/>
      <c r="C105" s="5" t="s">
        <v>626</v>
      </c>
      <c r="D105" s="135">
        <v>254.06</v>
      </c>
      <c r="E105" s="90">
        <f>Q98/P105</f>
        <v>304.91490659440689</v>
      </c>
      <c r="F105" s="88">
        <v>317.98</v>
      </c>
      <c r="G105" s="311"/>
      <c r="O105" s="1" t="s">
        <v>700</v>
      </c>
      <c r="P105" s="1">
        <v>39641791</v>
      </c>
      <c r="Q105" s="1"/>
    </row>
    <row r="106" spans="1:17" ht="63" x14ac:dyDescent="0.3">
      <c r="A106" s="3"/>
      <c r="B106" s="310"/>
      <c r="C106" s="5" t="s">
        <v>938</v>
      </c>
      <c r="D106" s="134">
        <v>86.95</v>
      </c>
      <c r="E106" s="90">
        <f>Q99/O106</f>
        <v>106.72647331718689</v>
      </c>
      <c r="F106" s="88">
        <v>139.68</v>
      </c>
      <c r="G106" s="311"/>
      <c r="O106" s="1">
        <v>171787584</v>
      </c>
      <c r="P106" s="1" t="s">
        <v>702</v>
      </c>
      <c r="Q106" s="1"/>
    </row>
    <row r="107" spans="1:17" x14ac:dyDescent="0.35">
      <c r="A107" s="3"/>
      <c r="B107" s="310"/>
      <c r="C107" s="54" t="s">
        <v>295</v>
      </c>
      <c r="D107" s="144">
        <f>SUM(D103:D106)/4</f>
        <v>160.38749999999999</v>
      </c>
      <c r="E107" s="157">
        <f>AVERAGE(E103:E106)</f>
        <v>186.60886618869873</v>
      </c>
      <c r="F107" s="157">
        <f>AVERAGE(F103:F106)</f>
        <v>208.42250000000001</v>
      </c>
      <c r="G107" s="311"/>
    </row>
    <row r="108" spans="1:17" x14ac:dyDescent="0.3">
      <c r="A108" s="3"/>
      <c r="B108" s="301"/>
      <c r="C108" s="302"/>
      <c r="D108" s="302"/>
      <c r="E108" s="302"/>
      <c r="F108" s="302"/>
      <c r="G108" s="303"/>
    </row>
    <row r="109" spans="1:17" x14ac:dyDescent="0.3">
      <c r="A109" s="2"/>
      <c r="B109" s="253" t="s">
        <v>82</v>
      </c>
      <c r="C109" s="270"/>
      <c r="D109" s="270"/>
      <c r="E109" s="270"/>
      <c r="F109" s="270"/>
      <c r="G109" s="254"/>
      <c r="H109" s="2"/>
      <c r="I109" s="2"/>
      <c r="J109" s="2"/>
      <c r="K109" s="2"/>
      <c r="L109" s="2"/>
      <c r="M109" s="2"/>
      <c r="N109" s="2"/>
      <c r="O109" s="2"/>
      <c r="P109" s="2"/>
    </row>
    <row r="110" spans="1:17" x14ac:dyDescent="0.3">
      <c r="A110" s="3"/>
      <c r="B110" s="304" t="s">
        <v>627</v>
      </c>
      <c r="C110" s="242"/>
      <c r="D110" s="242"/>
      <c r="E110" s="242"/>
      <c r="F110" s="242"/>
      <c r="G110" s="305"/>
    </row>
    <row r="111" spans="1:17" x14ac:dyDescent="0.3">
      <c r="A111" s="3"/>
      <c r="B111" s="248"/>
      <c r="C111" s="248"/>
      <c r="D111" s="248"/>
      <c r="E111" s="55"/>
      <c r="F111" s="55"/>
      <c r="G111" s="55"/>
    </row>
    <row r="112" spans="1:17" x14ac:dyDescent="0.3">
      <c r="C112" s="306"/>
      <c r="D112" s="306"/>
      <c r="E112" s="306"/>
      <c r="F112" s="306"/>
      <c r="G112" s="306"/>
    </row>
    <row r="113" spans="1:8" x14ac:dyDescent="0.3">
      <c r="A113" s="3">
        <v>14</v>
      </c>
      <c r="B113" s="54" t="s">
        <v>63</v>
      </c>
      <c r="C113" s="307" t="s">
        <v>50</v>
      </c>
      <c r="D113" s="308"/>
      <c r="E113" s="308"/>
      <c r="F113" s="308"/>
      <c r="G113" s="249"/>
    </row>
    <row r="114" spans="1:8" x14ac:dyDescent="0.3">
      <c r="C114" s="55"/>
      <c r="D114" s="55"/>
      <c r="E114" s="55"/>
      <c r="F114" s="55"/>
      <c r="G114" s="55"/>
    </row>
    <row r="115" spans="1:8" x14ac:dyDescent="0.3">
      <c r="B115" s="299" t="s">
        <v>628</v>
      </c>
      <c r="C115" s="299"/>
      <c r="D115" s="299"/>
      <c r="E115" s="299"/>
      <c r="F115" s="299"/>
      <c r="G115" s="299"/>
      <c r="H115" s="299"/>
    </row>
    <row r="120" spans="1:8" x14ac:dyDescent="0.3">
      <c r="D120" s="56"/>
      <c r="E120" s="56"/>
    </row>
    <row r="121" spans="1:8" x14ac:dyDescent="0.3">
      <c r="E121" s="56"/>
    </row>
  </sheetData>
  <mergeCells count="68">
    <mergeCell ref="B115:H115"/>
    <mergeCell ref="B108:G108"/>
    <mergeCell ref="B109:G109"/>
    <mergeCell ref="B110:G110"/>
    <mergeCell ref="B111:D111"/>
    <mergeCell ref="C112:G112"/>
    <mergeCell ref="C113:G113"/>
    <mergeCell ref="B77:G77"/>
    <mergeCell ref="B80:B86"/>
    <mergeCell ref="G80:G107"/>
    <mergeCell ref="B87:B93"/>
    <mergeCell ref="B94:B100"/>
    <mergeCell ref="B101:B107"/>
    <mergeCell ref="I68:K68"/>
    <mergeCell ref="B76:C76"/>
    <mergeCell ref="L68:N68"/>
    <mergeCell ref="L70:N71"/>
    <mergeCell ref="B72:N72"/>
    <mergeCell ref="B73:F73"/>
    <mergeCell ref="F68:H68"/>
    <mergeCell ref="B74:F74"/>
    <mergeCell ref="B75:F75"/>
    <mergeCell ref="C64:E64"/>
    <mergeCell ref="B68:B69"/>
    <mergeCell ref="C68:C69"/>
    <mergeCell ref="D68:D69"/>
    <mergeCell ref="E68:E69"/>
    <mergeCell ref="C63:E63"/>
    <mergeCell ref="B51:E51"/>
    <mergeCell ref="B54:E54"/>
    <mergeCell ref="B55:B56"/>
    <mergeCell ref="C55:E56"/>
    <mergeCell ref="C57:E57"/>
    <mergeCell ref="C58:E58"/>
    <mergeCell ref="B59:E59"/>
    <mergeCell ref="B60:E60"/>
    <mergeCell ref="C62:E62"/>
    <mergeCell ref="B61:E61"/>
    <mergeCell ref="B52:E52"/>
    <mergeCell ref="B48:E48"/>
    <mergeCell ref="E29:E32"/>
    <mergeCell ref="B33:E33"/>
    <mergeCell ref="B35:E35"/>
    <mergeCell ref="B36:E36"/>
    <mergeCell ref="B40:D40"/>
    <mergeCell ref="B42:E42"/>
    <mergeCell ref="C43:E43"/>
    <mergeCell ref="C44:E44"/>
    <mergeCell ref="C45:E45"/>
    <mergeCell ref="B46:E46"/>
    <mergeCell ref="B27:E27"/>
    <mergeCell ref="B12:D12"/>
    <mergeCell ref="C14:E14"/>
    <mergeCell ref="B15:D15"/>
    <mergeCell ref="B17:C17"/>
    <mergeCell ref="B19:E19"/>
    <mergeCell ref="C20:E20"/>
    <mergeCell ref="C21:E21"/>
    <mergeCell ref="C23:E23"/>
    <mergeCell ref="C24:E24"/>
    <mergeCell ref="B26:E26"/>
    <mergeCell ref="C22:E22"/>
    <mergeCell ref="C11:E11"/>
    <mergeCell ref="A1:B1"/>
    <mergeCell ref="C3:E3"/>
    <mergeCell ref="C5:E5"/>
    <mergeCell ref="B6:D6"/>
    <mergeCell ref="B9:D9"/>
  </mergeCells>
  <pageMargins left="0.70866141732283472" right="0.70866141732283472" top="0.74803149606299213" bottom="0.74803149606299213" header="0.31496062992125984" footer="0.31496062992125984"/>
  <pageSetup paperSize="9" scale="22" orientation="portrait" r:id="rId1"/>
  <colBreaks count="1" manualBreakCount="1">
    <brk id="14"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17081-8743-49C7-A2F5-6F27BDC4F67E}">
  <dimension ref="A1:R119"/>
  <sheetViews>
    <sheetView view="pageBreakPreview" topLeftCell="B98" zoomScale="66" zoomScaleNormal="66" zoomScaleSheetLayoutView="66" workbookViewId="0">
      <selection activeCell="F105" sqref="F105"/>
    </sheetView>
  </sheetViews>
  <sheetFormatPr defaultRowHeight="21" x14ac:dyDescent="0.3"/>
  <cols>
    <col min="1" max="1" width="9.109375" style="1"/>
    <col min="2" max="2" width="58.33203125" style="1" customWidth="1"/>
    <col min="3" max="3" width="72.109375" style="1" customWidth="1"/>
    <col min="4" max="4" width="65.5546875" style="1" customWidth="1"/>
    <col min="5" max="5" width="27.6640625" style="1" customWidth="1"/>
    <col min="6" max="6" width="19.5546875" style="1" customWidth="1"/>
    <col min="7" max="7" width="16.6640625" style="1" customWidth="1"/>
    <col min="8" max="8" width="27" style="1" customWidth="1"/>
    <col min="9" max="9" width="14.21875" style="1" customWidth="1"/>
    <col min="10" max="10" width="16" style="1" customWidth="1"/>
    <col min="11" max="11" width="14.6640625" style="1" customWidth="1"/>
    <col min="12" max="16" width="9.109375" style="1"/>
  </cols>
  <sheetData>
    <row r="1" spans="1:5" x14ac:dyDescent="0.3">
      <c r="A1" s="246" t="s">
        <v>0</v>
      </c>
      <c r="B1" s="246"/>
      <c r="D1" s="2"/>
    </row>
    <row r="3" spans="1:5" ht="40.799999999999997" x14ac:dyDescent="0.3">
      <c r="A3" s="3" t="s">
        <v>1</v>
      </c>
      <c r="B3" s="54" t="s">
        <v>2</v>
      </c>
      <c r="C3" s="300" t="s">
        <v>724</v>
      </c>
      <c r="D3" s="300"/>
      <c r="E3" s="300"/>
    </row>
    <row r="4" spans="1:5" x14ac:dyDescent="0.3">
      <c r="D4" s="22"/>
    </row>
    <row r="5" spans="1:5" x14ac:dyDescent="0.3">
      <c r="A5" s="62">
        <v>1</v>
      </c>
      <c r="B5" s="63" t="s">
        <v>3</v>
      </c>
      <c r="C5" s="247" t="s">
        <v>593</v>
      </c>
      <c r="D5" s="248"/>
      <c r="E5" s="249"/>
    </row>
    <row r="6" spans="1:5" x14ac:dyDescent="0.3">
      <c r="A6" s="3"/>
      <c r="B6" s="250" t="s">
        <v>4</v>
      </c>
      <c r="C6" s="251"/>
      <c r="D6" s="252"/>
      <c r="E6" s="10"/>
    </row>
    <row r="7" spans="1:5" x14ac:dyDescent="0.3">
      <c r="A7" s="3"/>
      <c r="B7" s="2"/>
      <c r="D7" s="22"/>
    </row>
    <row r="8" spans="1:5" x14ac:dyDescent="0.3">
      <c r="A8" s="3">
        <v>2</v>
      </c>
      <c r="B8" s="63" t="s">
        <v>5</v>
      </c>
      <c r="C8" s="12" t="s">
        <v>764</v>
      </c>
      <c r="D8" s="22"/>
    </row>
    <row r="9" spans="1:5" x14ac:dyDescent="0.3">
      <c r="A9" s="3"/>
      <c r="B9" s="250" t="s">
        <v>4</v>
      </c>
      <c r="C9" s="251"/>
      <c r="D9" s="252"/>
    </row>
    <row r="10" spans="1:5" x14ac:dyDescent="0.3">
      <c r="A10" s="3"/>
      <c r="B10" s="2"/>
      <c r="D10" s="22"/>
    </row>
    <row r="11" spans="1:5" ht="40.799999999999997" x14ac:dyDescent="0.3">
      <c r="A11" s="3">
        <v>3</v>
      </c>
      <c r="B11" s="63" t="s">
        <v>6</v>
      </c>
      <c r="C11" s="247" t="s">
        <v>90</v>
      </c>
      <c r="D11" s="248"/>
      <c r="E11" s="249"/>
    </row>
    <row r="12" spans="1:5" x14ac:dyDescent="0.3">
      <c r="A12" s="3"/>
      <c r="B12" s="250" t="s">
        <v>4</v>
      </c>
      <c r="C12" s="251"/>
      <c r="D12" s="252"/>
      <c r="E12" s="10"/>
    </row>
    <row r="13" spans="1:5" x14ac:dyDescent="0.3">
      <c r="A13" s="3"/>
      <c r="B13" s="2"/>
      <c r="D13" s="22"/>
    </row>
    <row r="14" spans="1:5" x14ac:dyDescent="0.3">
      <c r="A14" s="3">
        <v>4</v>
      </c>
      <c r="B14" s="54" t="s">
        <v>92</v>
      </c>
      <c r="C14" s="247" t="s">
        <v>90</v>
      </c>
      <c r="D14" s="248"/>
      <c r="E14" s="249"/>
    </row>
    <row r="15" spans="1:5" x14ac:dyDescent="0.3">
      <c r="A15" s="3"/>
      <c r="B15" s="250" t="s">
        <v>4</v>
      </c>
      <c r="C15" s="251"/>
      <c r="D15" s="252"/>
    </row>
    <row r="16" spans="1:5" x14ac:dyDescent="0.3">
      <c r="A16" s="3">
        <v>4</v>
      </c>
      <c r="B16" s="54" t="s">
        <v>7</v>
      </c>
      <c r="C16" s="5" t="s">
        <v>729</v>
      </c>
      <c r="D16" s="22"/>
    </row>
    <row r="17" spans="1:14" x14ac:dyDescent="0.3">
      <c r="A17" s="3"/>
      <c r="B17" s="253" t="s">
        <v>8</v>
      </c>
      <c r="C17" s="254"/>
      <c r="D17" s="22"/>
    </row>
    <row r="18" spans="1:14" x14ac:dyDescent="0.3">
      <c r="A18" s="3"/>
      <c r="D18" s="22"/>
      <c r="F18" s="224"/>
    </row>
    <row r="19" spans="1:14" x14ac:dyDescent="0.3">
      <c r="A19" s="3">
        <v>5</v>
      </c>
      <c r="B19" s="255" t="s">
        <v>9</v>
      </c>
      <c r="C19" s="256"/>
      <c r="D19" s="256"/>
      <c r="E19" s="257"/>
      <c r="F19" s="2"/>
      <c r="G19" s="2"/>
      <c r="H19" s="2"/>
      <c r="I19" s="2"/>
      <c r="J19" s="10"/>
      <c r="K19" s="10"/>
      <c r="L19" s="10"/>
      <c r="M19" s="10"/>
      <c r="N19" s="10"/>
    </row>
    <row r="20" spans="1:14" x14ac:dyDescent="0.3">
      <c r="A20" s="3"/>
      <c r="B20" s="65" t="s">
        <v>10</v>
      </c>
      <c r="C20" s="243">
        <v>0.12809999999999999</v>
      </c>
      <c r="D20" s="439"/>
      <c r="E20" s="440"/>
      <c r="F20" s="66"/>
      <c r="G20" s="10"/>
      <c r="H20" s="10"/>
      <c r="I20" s="10"/>
      <c r="J20" s="10"/>
      <c r="K20" s="10"/>
      <c r="L20" s="10"/>
      <c r="M20" s="10"/>
      <c r="N20" s="10"/>
    </row>
    <row r="21" spans="1:14" ht="61.2" x14ac:dyDescent="0.3">
      <c r="A21" s="3"/>
      <c r="B21" s="65" t="s">
        <v>725</v>
      </c>
      <c r="C21" s="243">
        <v>7.1400000000000005E-2</v>
      </c>
      <c r="D21" s="244"/>
      <c r="E21" s="245"/>
      <c r="F21" s="66"/>
      <c r="G21" s="10"/>
      <c r="I21" s="10"/>
      <c r="J21" s="10"/>
      <c r="K21" s="10"/>
      <c r="L21" s="10"/>
      <c r="M21" s="10"/>
      <c r="N21" s="10"/>
    </row>
    <row r="22" spans="1:14" x14ac:dyDescent="0.3">
      <c r="A22" s="3"/>
      <c r="B22" s="65" t="s">
        <v>765</v>
      </c>
      <c r="C22" s="243">
        <v>7.1400000000000005E-2</v>
      </c>
      <c r="D22" s="244"/>
      <c r="E22" s="245"/>
      <c r="F22" s="66"/>
      <c r="G22" s="10"/>
      <c r="H22" s="10"/>
      <c r="I22" s="10"/>
      <c r="J22" s="10"/>
      <c r="K22" s="10"/>
      <c r="L22" s="10"/>
      <c r="M22" s="10"/>
      <c r="N22" s="10"/>
    </row>
    <row r="23" spans="1:14" x14ac:dyDescent="0.3">
      <c r="A23" s="3"/>
      <c r="B23" s="64" t="s">
        <v>475</v>
      </c>
      <c r="C23" s="369">
        <v>5.57E-2</v>
      </c>
      <c r="D23" s="370"/>
      <c r="E23" s="371"/>
      <c r="F23" s="66"/>
      <c r="G23" s="10"/>
      <c r="H23" s="10"/>
      <c r="I23" s="10"/>
      <c r="J23" s="10"/>
      <c r="K23" s="10"/>
      <c r="L23" s="10"/>
      <c r="M23" s="10"/>
      <c r="N23" s="10"/>
    </row>
    <row r="24" spans="1:14" x14ac:dyDescent="0.3">
      <c r="A24" s="3"/>
      <c r="B24" s="67" t="s">
        <v>766</v>
      </c>
      <c r="C24" s="401" t="s">
        <v>15</v>
      </c>
      <c r="D24" s="401"/>
      <c r="E24" s="401"/>
      <c r="F24" s="66"/>
      <c r="G24" s="10"/>
      <c r="H24" s="10"/>
      <c r="I24" s="10"/>
      <c r="J24" s="10"/>
      <c r="K24" s="10"/>
      <c r="L24" s="10"/>
      <c r="M24" s="10"/>
      <c r="N24" s="10"/>
    </row>
    <row r="25" spans="1:14" x14ac:dyDescent="0.3">
      <c r="A25" s="3"/>
      <c r="B25" s="66" t="s">
        <v>64</v>
      </c>
      <c r="C25" s="66"/>
      <c r="D25" s="66"/>
      <c r="E25" s="66"/>
      <c r="F25" s="66"/>
      <c r="G25" s="10"/>
      <c r="H25" s="10"/>
      <c r="I25" s="10"/>
      <c r="J25" s="10"/>
      <c r="K25" s="10"/>
      <c r="L25" s="10"/>
      <c r="M25" s="10"/>
      <c r="N25" s="10"/>
    </row>
    <row r="26" spans="1:14" x14ac:dyDescent="0.3">
      <c r="A26" s="3">
        <v>6</v>
      </c>
      <c r="B26" s="261" t="s">
        <v>74</v>
      </c>
      <c r="C26" s="262"/>
      <c r="D26" s="262"/>
      <c r="E26" s="263"/>
      <c r="F26" s="2"/>
      <c r="G26" s="2"/>
      <c r="H26" s="10"/>
      <c r="I26" s="2"/>
      <c r="J26" s="2"/>
    </row>
    <row r="27" spans="1:14" x14ac:dyDescent="0.3">
      <c r="A27" s="3"/>
      <c r="B27" s="264" t="s">
        <v>17</v>
      </c>
      <c r="C27" s="265"/>
      <c r="D27" s="265"/>
      <c r="E27" s="266"/>
      <c r="F27" s="66"/>
    </row>
    <row r="28" spans="1:14" x14ac:dyDescent="0.3">
      <c r="A28" s="3"/>
      <c r="B28" s="67" t="s">
        <v>18</v>
      </c>
      <c r="C28" s="25" t="s">
        <v>477</v>
      </c>
      <c r="D28" s="25" t="s">
        <v>478</v>
      </c>
      <c r="E28" s="25" t="s">
        <v>479</v>
      </c>
      <c r="F28" s="66"/>
    </row>
    <row r="29" spans="1:14" x14ac:dyDescent="0.3">
      <c r="A29" s="3"/>
      <c r="B29" s="68" t="s">
        <v>21</v>
      </c>
      <c r="C29" s="127">
        <v>10176.790000000001</v>
      </c>
      <c r="D29" s="127">
        <v>11606</v>
      </c>
      <c r="E29" s="267" t="s">
        <v>22</v>
      </c>
      <c r="F29" s="66"/>
    </row>
    <row r="30" spans="1:14" x14ac:dyDescent="0.3">
      <c r="A30" s="3"/>
      <c r="B30" s="68" t="s">
        <v>23</v>
      </c>
      <c r="C30" s="27">
        <v>900.56</v>
      </c>
      <c r="D30" s="127">
        <v>1004.54</v>
      </c>
      <c r="E30" s="268"/>
      <c r="F30" s="66"/>
    </row>
    <row r="31" spans="1:14" x14ac:dyDescent="0.3">
      <c r="A31" s="3"/>
      <c r="B31" s="68" t="s">
        <v>24</v>
      </c>
      <c r="C31" s="127">
        <v>1110.02</v>
      </c>
      <c r="D31" s="127">
        <v>1110.02</v>
      </c>
      <c r="E31" s="268"/>
      <c r="F31" s="66"/>
      <c r="H31" s="203"/>
    </row>
    <row r="32" spans="1:14" x14ac:dyDescent="0.3">
      <c r="A32" s="3"/>
      <c r="B32" s="68" t="s">
        <v>25</v>
      </c>
      <c r="C32" s="127">
        <v>6067.54</v>
      </c>
      <c r="D32" s="127">
        <v>7016.58</v>
      </c>
      <c r="E32" s="269"/>
      <c r="F32" s="66"/>
    </row>
    <row r="33" spans="1:18" x14ac:dyDescent="0.3">
      <c r="A33" s="3"/>
      <c r="B33" s="253" t="s">
        <v>191</v>
      </c>
      <c r="C33" s="270"/>
      <c r="D33" s="270"/>
      <c r="E33" s="254"/>
      <c r="F33" s="66"/>
    </row>
    <row r="34" spans="1:18" x14ac:dyDescent="0.3">
      <c r="A34" s="3"/>
      <c r="B34" s="10"/>
      <c r="C34" s="66"/>
      <c r="D34" s="66"/>
      <c r="E34" s="66"/>
      <c r="F34" s="66"/>
    </row>
    <row r="35" spans="1:18" ht="48.75" customHeight="1" x14ac:dyDescent="0.3">
      <c r="A35" s="3">
        <v>7</v>
      </c>
      <c r="B35" s="261" t="s">
        <v>26</v>
      </c>
      <c r="C35" s="262"/>
      <c r="D35" s="262"/>
      <c r="E35" s="263"/>
      <c r="F35" s="2"/>
      <c r="G35" s="2"/>
      <c r="H35" s="2"/>
      <c r="I35" s="2"/>
      <c r="J35" s="2"/>
    </row>
    <row r="36" spans="1:18" x14ac:dyDescent="0.3">
      <c r="A36" s="3"/>
      <c r="B36" s="67" t="s">
        <v>247</v>
      </c>
      <c r="C36" s="27" t="s">
        <v>455</v>
      </c>
      <c r="D36" s="5"/>
      <c r="E36" s="5"/>
      <c r="F36" s="10"/>
    </row>
    <row r="37" spans="1:18" x14ac:dyDescent="0.3">
      <c r="A37" s="3"/>
      <c r="B37" s="67" t="s">
        <v>28</v>
      </c>
      <c r="C37" s="27" t="s">
        <v>93</v>
      </c>
      <c r="D37" s="10"/>
      <c r="E37" s="10"/>
      <c r="F37" s="10"/>
    </row>
    <row r="38" spans="1:18" x14ac:dyDescent="0.3">
      <c r="A38" s="3"/>
      <c r="B38" s="67" t="s">
        <v>29</v>
      </c>
      <c r="C38" s="27" t="s">
        <v>15</v>
      </c>
      <c r="D38" s="10"/>
      <c r="E38" s="10"/>
      <c r="F38" s="10"/>
    </row>
    <row r="39" spans="1:18" x14ac:dyDescent="0.3">
      <c r="A39" s="3"/>
      <c r="B39" s="271" t="s">
        <v>726</v>
      </c>
      <c r="C39" s="271"/>
      <c r="D39" s="271"/>
      <c r="E39" s="10"/>
      <c r="F39" s="10"/>
    </row>
    <row r="40" spans="1:18" x14ac:dyDescent="0.3">
      <c r="A40" s="3"/>
      <c r="B40" s="66"/>
      <c r="C40" s="10"/>
      <c r="D40" s="10"/>
      <c r="E40" s="10"/>
      <c r="F40" s="10"/>
    </row>
    <row r="41" spans="1:18" x14ac:dyDescent="0.3">
      <c r="A41" s="3">
        <v>8</v>
      </c>
      <c r="B41" s="261" t="s">
        <v>30</v>
      </c>
      <c r="C41" s="262"/>
      <c r="D41" s="262"/>
      <c r="E41" s="263"/>
      <c r="F41" s="2"/>
      <c r="G41" s="2"/>
      <c r="H41" s="2"/>
      <c r="I41" s="2"/>
      <c r="J41" s="2"/>
    </row>
    <row r="42" spans="1:18" x14ac:dyDescent="0.3">
      <c r="A42" s="3"/>
      <c r="B42" s="67" t="s">
        <v>31</v>
      </c>
      <c r="C42" s="258" t="s">
        <v>11</v>
      </c>
      <c r="D42" s="259"/>
      <c r="E42" s="260"/>
      <c r="F42" s="10"/>
    </row>
    <row r="43" spans="1:18" x14ac:dyDescent="0.3">
      <c r="A43" s="3"/>
      <c r="B43" s="67" t="s">
        <v>28</v>
      </c>
      <c r="C43" s="258" t="s">
        <v>927</v>
      </c>
      <c r="D43" s="259"/>
      <c r="E43" s="260"/>
      <c r="F43" s="10"/>
    </row>
    <row r="44" spans="1:18" x14ac:dyDescent="0.3">
      <c r="A44" s="3"/>
      <c r="B44" s="67" t="s">
        <v>29</v>
      </c>
      <c r="C44" s="258" t="s">
        <v>15</v>
      </c>
      <c r="D44" s="259"/>
      <c r="E44" s="260"/>
      <c r="F44" s="10"/>
    </row>
    <row r="45" spans="1:18" x14ac:dyDescent="0.3">
      <c r="A45" s="3"/>
      <c r="B45" s="253" t="s">
        <v>198</v>
      </c>
      <c r="C45" s="270"/>
      <c r="D45" s="270"/>
      <c r="E45" s="254"/>
      <c r="F45" s="10"/>
    </row>
    <row r="46" spans="1:18" x14ac:dyDescent="0.3">
      <c r="A46" s="3"/>
      <c r="D46" s="22"/>
      <c r="E46" s="10"/>
    </row>
    <row r="47" spans="1:18" x14ac:dyDescent="0.3">
      <c r="A47" s="191">
        <v>9</v>
      </c>
      <c r="B47" s="262" t="s">
        <v>32</v>
      </c>
      <c r="C47" s="262"/>
      <c r="D47" s="262"/>
      <c r="E47" s="263"/>
      <c r="F47" s="2"/>
      <c r="G47" s="2"/>
      <c r="H47" s="2"/>
      <c r="I47" s="2"/>
    </row>
    <row r="48" spans="1:18" ht="81.599999999999994" x14ac:dyDescent="0.3">
      <c r="A48" s="191"/>
      <c r="B48" s="24" t="s">
        <v>33</v>
      </c>
      <c r="C48" s="25" t="s">
        <v>34</v>
      </c>
      <c r="D48" s="25" t="s">
        <v>96</v>
      </c>
      <c r="E48" s="25" t="s">
        <v>35</v>
      </c>
      <c r="R48" s="1">
        <f>216+55.34</f>
        <v>271.34000000000003</v>
      </c>
    </row>
    <row r="49" spans="1:16" ht="168" x14ac:dyDescent="0.3">
      <c r="A49" s="191"/>
      <c r="B49" s="195" t="s">
        <v>730</v>
      </c>
      <c r="C49" s="68" t="s">
        <v>771</v>
      </c>
      <c r="D49" s="27" t="s">
        <v>923</v>
      </c>
      <c r="E49" s="27" t="s">
        <v>121</v>
      </c>
    </row>
    <row r="50" spans="1:16" x14ac:dyDescent="0.3">
      <c r="A50" s="191"/>
      <c r="B50" s="270"/>
      <c r="C50" s="270"/>
      <c r="D50" s="270"/>
      <c r="E50" s="254"/>
    </row>
    <row r="51" spans="1:16" x14ac:dyDescent="0.3">
      <c r="A51" s="191"/>
      <c r="B51" s="103" t="s">
        <v>924</v>
      </c>
      <c r="C51" s="87"/>
      <c r="D51" s="87"/>
      <c r="E51" s="87"/>
    </row>
    <row r="52" spans="1:16" x14ac:dyDescent="0.3">
      <c r="A52" s="191"/>
      <c r="B52" s="28"/>
      <c r="C52" s="22"/>
      <c r="D52" s="22"/>
      <c r="E52" s="22"/>
      <c r="F52" s="66"/>
      <c r="G52" s="66"/>
      <c r="H52" s="66"/>
      <c r="I52" s="66"/>
    </row>
    <row r="53" spans="1:16" x14ac:dyDescent="0.3">
      <c r="A53" s="191">
        <v>10</v>
      </c>
      <c r="B53" s="262" t="s">
        <v>32</v>
      </c>
      <c r="C53" s="262"/>
      <c r="D53" s="262"/>
      <c r="E53" s="263"/>
      <c r="F53" s="66"/>
      <c r="G53" s="66"/>
      <c r="H53" s="66"/>
    </row>
    <row r="54" spans="1:16" ht="53.25" customHeight="1" x14ac:dyDescent="0.3">
      <c r="A54" s="191"/>
      <c r="B54" s="275" t="s">
        <v>36</v>
      </c>
      <c r="C54" s="277" t="s">
        <v>772</v>
      </c>
      <c r="D54" s="278"/>
      <c r="E54" s="279"/>
      <c r="K54" s="2"/>
    </row>
    <row r="55" spans="1:16" ht="51" customHeight="1" x14ac:dyDescent="0.3">
      <c r="A55" s="191"/>
      <c r="B55" s="276"/>
      <c r="C55" s="280"/>
      <c r="D55" s="281"/>
      <c r="E55" s="282"/>
      <c r="K55" s="2"/>
    </row>
    <row r="56" spans="1:16" ht="88.95" customHeight="1" x14ac:dyDescent="0.3">
      <c r="A56" s="191"/>
      <c r="B56" s="29" t="s">
        <v>37</v>
      </c>
      <c r="C56" s="283" t="s">
        <v>925</v>
      </c>
      <c r="D56" s="284"/>
      <c r="E56" s="285"/>
    </row>
    <row r="57" spans="1:16" x14ac:dyDescent="0.3">
      <c r="A57" s="191"/>
      <c r="B57" s="29" t="s">
        <v>38</v>
      </c>
      <c r="C57" s="286" t="s">
        <v>121</v>
      </c>
      <c r="D57" s="287"/>
      <c r="E57" s="288"/>
      <c r="K57" s="30"/>
    </row>
    <row r="58" spans="1:16" x14ac:dyDescent="0.4">
      <c r="A58" s="111" t="s">
        <v>39</v>
      </c>
      <c r="B58" s="290" t="s">
        <v>926</v>
      </c>
      <c r="C58" s="290"/>
      <c r="D58" s="290"/>
      <c r="E58" s="291"/>
      <c r="F58" s="32"/>
      <c r="G58" s="32"/>
      <c r="H58" s="32"/>
      <c r="I58" s="32"/>
      <c r="J58" s="32"/>
      <c r="K58" s="32"/>
      <c r="L58" s="32"/>
      <c r="M58" s="32"/>
      <c r="N58" s="32"/>
      <c r="O58" s="32"/>
      <c r="P58" s="32"/>
    </row>
    <row r="59" spans="1:16" x14ac:dyDescent="0.3">
      <c r="A59" s="71"/>
      <c r="B59" s="72"/>
      <c r="C59" s="73"/>
      <c r="D59" s="73"/>
      <c r="E59" s="73"/>
      <c r="F59" s="73"/>
    </row>
    <row r="60" spans="1:16" x14ac:dyDescent="0.3">
      <c r="A60" s="3">
        <v>11</v>
      </c>
      <c r="B60" s="54" t="s">
        <v>41</v>
      </c>
      <c r="C60" s="270" t="s">
        <v>121</v>
      </c>
      <c r="D60" s="270"/>
      <c r="E60" s="270"/>
      <c r="F60" s="2"/>
      <c r="G60" s="2"/>
      <c r="H60" s="74"/>
      <c r="I60" s="2"/>
      <c r="J60" s="2"/>
    </row>
    <row r="61" spans="1:16" x14ac:dyDescent="0.3">
      <c r="A61" s="3"/>
      <c r="B61" s="66"/>
      <c r="C61" s="270"/>
      <c r="D61" s="270"/>
      <c r="E61" s="270"/>
      <c r="F61" s="66"/>
      <c r="G61" s="66"/>
      <c r="H61" s="75"/>
      <c r="I61" s="75"/>
      <c r="J61" s="66"/>
    </row>
    <row r="62" spans="1:16" x14ac:dyDescent="0.3">
      <c r="A62" s="76">
        <v>12</v>
      </c>
      <c r="B62" s="77" t="s">
        <v>42</v>
      </c>
      <c r="C62" s="272"/>
      <c r="D62" s="273"/>
      <c r="E62" s="274"/>
      <c r="F62" s="78"/>
      <c r="G62" s="79"/>
      <c r="H62" s="79"/>
      <c r="I62" s="79"/>
      <c r="J62" s="79"/>
      <c r="K62" s="79"/>
      <c r="L62" s="79"/>
      <c r="M62" s="79"/>
      <c r="N62" s="79"/>
      <c r="O62" s="42"/>
      <c r="P62" s="42"/>
    </row>
    <row r="63" spans="1:16" x14ac:dyDescent="0.3">
      <c r="A63" s="3"/>
      <c r="B63" s="2"/>
      <c r="C63" s="2"/>
      <c r="D63" s="2"/>
      <c r="E63" s="74"/>
      <c r="F63" s="74"/>
      <c r="G63" s="74"/>
      <c r="H63" s="2"/>
      <c r="I63" s="2"/>
      <c r="J63" s="2"/>
      <c r="K63" s="2"/>
      <c r="L63" s="2"/>
      <c r="M63" s="2"/>
      <c r="N63" s="2"/>
    </row>
    <row r="64" spans="1:16" x14ac:dyDescent="0.3">
      <c r="A64" s="3"/>
      <c r="B64" s="67" t="s">
        <v>43</v>
      </c>
      <c r="C64" s="68" t="s">
        <v>722</v>
      </c>
      <c r="D64" s="66"/>
      <c r="E64" s="66"/>
      <c r="F64" s="75"/>
      <c r="G64" s="75"/>
      <c r="H64" s="66"/>
      <c r="I64" s="66"/>
      <c r="J64" s="66"/>
      <c r="K64" s="66"/>
      <c r="L64" s="66"/>
      <c r="M64" s="66"/>
      <c r="N64" s="66"/>
    </row>
    <row r="65" spans="1:14" x14ac:dyDescent="0.3">
      <c r="A65" s="3"/>
      <c r="B65" s="66"/>
      <c r="C65" s="66"/>
      <c r="D65" s="66"/>
      <c r="E65" s="66"/>
      <c r="F65" s="66"/>
      <c r="G65" s="66"/>
      <c r="H65" s="66"/>
      <c r="I65" s="66"/>
      <c r="J65" s="66"/>
      <c r="K65" s="66"/>
      <c r="L65" s="66"/>
      <c r="M65" s="66"/>
      <c r="N65" s="66"/>
    </row>
    <row r="66" spans="1:14" ht="55.5" customHeight="1" x14ac:dyDescent="0.3">
      <c r="A66" s="3"/>
      <c r="B66" s="295" t="s">
        <v>44</v>
      </c>
      <c r="C66" s="295" t="s">
        <v>731</v>
      </c>
      <c r="D66" s="295" t="s">
        <v>68</v>
      </c>
      <c r="E66" s="297" t="s">
        <v>45</v>
      </c>
      <c r="F66" s="292" t="s">
        <v>480</v>
      </c>
      <c r="G66" s="293"/>
      <c r="H66" s="294"/>
      <c r="I66" s="292" t="s">
        <v>481</v>
      </c>
      <c r="J66" s="293"/>
      <c r="K66" s="294"/>
      <c r="L66" s="292" t="s">
        <v>482</v>
      </c>
      <c r="M66" s="293"/>
      <c r="N66" s="294"/>
    </row>
    <row r="67" spans="1:14" ht="81.599999999999994" x14ac:dyDescent="0.3">
      <c r="A67" s="3"/>
      <c r="B67" s="296"/>
      <c r="C67" s="296"/>
      <c r="D67" s="296"/>
      <c r="E67" s="298"/>
      <c r="F67" s="67" t="s">
        <v>46</v>
      </c>
      <c r="G67" s="67" t="s">
        <v>47</v>
      </c>
      <c r="H67" s="67" t="s">
        <v>48</v>
      </c>
      <c r="I67" s="67" t="s">
        <v>49</v>
      </c>
      <c r="J67" s="67" t="s">
        <v>47</v>
      </c>
      <c r="K67" s="67" t="s">
        <v>48</v>
      </c>
      <c r="L67" s="67" t="s">
        <v>49</v>
      </c>
      <c r="M67" s="67" t="s">
        <v>47</v>
      </c>
      <c r="N67" s="67" t="s">
        <v>48</v>
      </c>
    </row>
    <row r="68" spans="1:14" x14ac:dyDescent="0.3">
      <c r="A68" s="3"/>
      <c r="B68" s="67" t="s">
        <v>66</v>
      </c>
      <c r="C68" s="82">
        <v>121.3</v>
      </c>
      <c r="D68" s="82">
        <v>121.3</v>
      </c>
      <c r="E68" s="82">
        <v>164</v>
      </c>
      <c r="F68" s="121">
        <v>118</v>
      </c>
      <c r="G68" s="121">
        <v>119</v>
      </c>
      <c r="H68" s="121">
        <v>118</v>
      </c>
      <c r="I68" s="121">
        <v>168.75</v>
      </c>
      <c r="J68" s="121">
        <v>187.8</v>
      </c>
      <c r="K68" s="121">
        <v>126.5</v>
      </c>
      <c r="L68" s="345" t="s">
        <v>108</v>
      </c>
      <c r="M68" s="346"/>
      <c r="N68" s="347"/>
    </row>
    <row r="69" spans="1:14" ht="40.799999999999997" x14ac:dyDescent="0.3">
      <c r="A69" s="3"/>
      <c r="B69" s="69" t="s">
        <v>599</v>
      </c>
      <c r="C69" s="82">
        <v>22553.35</v>
      </c>
      <c r="D69" s="82">
        <v>22553.35</v>
      </c>
      <c r="E69" s="82">
        <v>24826.2</v>
      </c>
      <c r="F69" s="121">
        <v>23519.35</v>
      </c>
      <c r="G69" s="121">
        <v>26277.35</v>
      </c>
      <c r="H69" s="121">
        <v>21281.45</v>
      </c>
      <c r="I69" s="121">
        <v>22331.4</v>
      </c>
      <c r="J69" s="121">
        <v>26373.200000000001</v>
      </c>
      <c r="K69" s="121">
        <v>21743.65</v>
      </c>
      <c r="L69" s="348"/>
      <c r="M69" s="349"/>
      <c r="N69" s="350"/>
    </row>
    <row r="70" spans="1:14" x14ac:dyDescent="0.3">
      <c r="A70" s="3"/>
      <c r="B70" s="253" t="s">
        <v>600</v>
      </c>
      <c r="C70" s="270"/>
      <c r="D70" s="270"/>
      <c r="E70" s="270"/>
      <c r="F70" s="270"/>
      <c r="G70" s="270"/>
      <c r="H70" s="270"/>
      <c r="I70" s="270"/>
      <c r="J70" s="270"/>
      <c r="K70" s="270"/>
      <c r="L70" s="270"/>
      <c r="M70" s="270"/>
      <c r="N70" s="254"/>
    </row>
    <row r="71" spans="1:14" x14ac:dyDescent="0.3">
      <c r="A71" s="3"/>
      <c r="B71" s="253" t="s">
        <v>84</v>
      </c>
      <c r="C71" s="270"/>
      <c r="D71" s="270"/>
      <c r="E71" s="270"/>
      <c r="F71" s="254"/>
      <c r="G71" s="83"/>
      <c r="H71" s="83"/>
      <c r="I71" s="83"/>
      <c r="J71" s="83"/>
      <c r="K71" s="83"/>
      <c r="L71" s="83"/>
      <c r="M71" s="83"/>
      <c r="N71" s="83"/>
    </row>
    <row r="72" spans="1:14" x14ac:dyDescent="0.3">
      <c r="A72" s="3"/>
      <c r="B72" s="253" t="s">
        <v>70</v>
      </c>
      <c r="C72" s="270"/>
      <c r="D72" s="270"/>
      <c r="E72" s="270"/>
      <c r="F72" s="254"/>
      <c r="G72" s="83"/>
      <c r="H72" s="83"/>
      <c r="I72" s="83"/>
      <c r="J72" s="83"/>
      <c r="K72" s="83"/>
      <c r="L72" s="83"/>
      <c r="M72" s="83"/>
      <c r="N72" s="83"/>
    </row>
    <row r="73" spans="1:14" x14ac:dyDescent="0.3">
      <c r="A73" s="3"/>
      <c r="B73" s="253" t="s">
        <v>71</v>
      </c>
      <c r="C73" s="270"/>
      <c r="D73" s="270"/>
      <c r="E73" s="270"/>
      <c r="F73" s="254"/>
      <c r="G73" s="83"/>
      <c r="H73" s="83"/>
      <c r="I73" s="83"/>
      <c r="J73" s="83"/>
      <c r="K73" s="83"/>
      <c r="L73" s="83"/>
      <c r="M73" s="83"/>
      <c r="N73" s="83"/>
    </row>
    <row r="74" spans="1:14" x14ac:dyDescent="0.3">
      <c r="A74" s="3"/>
      <c r="B74" s="84"/>
      <c r="C74" s="84"/>
      <c r="D74" s="84"/>
      <c r="E74" s="84"/>
      <c r="F74" s="84"/>
      <c r="G74" s="10"/>
      <c r="H74" s="10"/>
      <c r="I74" s="10"/>
      <c r="J74" s="10"/>
      <c r="K74" s="10"/>
      <c r="L74" s="10"/>
      <c r="M74" s="10"/>
      <c r="N74" s="10"/>
    </row>
    <row r="75" spans="1:14" x14ac:dyDescent="0.3">
      <c r="A75" s="3">
        <v>13</v>
      </c>
      <c r="B75" s="261" t="s">
        <v>51</v>
      </c>
      <c r="C75" s="262"/>
      <c r="D75" s="262"/>
      <c r="E75" s="262"/>
      <c r="F75" s="262"/>
      <c r="G75" s="263"/>
      <c r="H75" s="2"/>
      <c r="I75" s="2"/>
      <c r="J75" s="2"/>
      <c r="K75" s="2"/>
      <c r="L75" s="2"/>
      <c r="M75" s="2"/>
      <c r="N75" s="2"/>
    </row>
    <row r="76" spans="1:14" x14ac:dyDescent="0.3">
      <c r="A76" s="3"/>
      <c r="C76" s="66"/>
      <c r="D76" s="66"/>
      <c r="E76" s="66"/>
      <c r="F76" s="66"/>
      <c r="G76" s="66"/>
      <c r="H76" s="66"/>
      <c r="I76" s="66"/>
      <c r="J76" s="66"/>
      <c r="K76" s="66"/>
      <c r="L76" s="66"/>
      <c r="M76" s="66"/>
      <c r="N76" s="66"/>
    </row>
    <row r="77" spans="1:14" ht="40.799999999999997" x14ac:dyDescent="0.3">
      <c r="A77" s="3"/>
      <c r="B77" s="25" t="s">
        <v>52</v>
      </c>
      <c r="C77" s="25" t="s">
        <v>53</v>
      </c>
      <c r="D77" s="25" t="s">
        <v>603</v>
      </c>
      <c r="E77" s="25" t="s">
        <v>54</v>
      </c>
      <c r="F77" s="25" t="s">
        <v>55</v>
      </c>
      <c r="G77" s="25" t="s">
        <v>56</v>
      </c>
      <c r="H77" s="10"/>
      <c r="I77" s="10"/>
      <c r="J77" s="10"/>
      <c r="K77" s="10"/>
      <c r="L77" s="10"/>
      <c r="M77" s="10"/>
      <c r="N77" s="10"/>
    </row>
    <row r="78" spans="1:14" x14ac:dyDescent="0.3">
      <c r="A78" s="3"/>
      <c r="B78" s="297" t="s">
        <v>72</v>
      </c>
      <c r="C78" s="54" t="s">
        <v>723</v>
      </c>
      <c r="D78" s="151">
        <v>12.82</v>
      </c>
      <c r="E78" s="90">
        <v>9.49</v>
      </c>
      <c r="F78" s="88">
        <v>9.0500000000000007</v>
      </c>
      <c r="G78" s="311" t="s">
        <v>83</v>
      </c>
    </row>
    <row r="79" spans="1:14" x14ac:dyDescent="0.3">
      <c r="A79" s="3"/>
      <c r="B79" s="309"/>
      <c r="C79" s="54" t="s">
        <v>237</v>
      </c>
      <c r="D79" s="135"/>
      <c r="E79" s="88"/>
      <c r="F79" s="88"/>
      <c r="G79" s="311"/>
    </row>
    <row r="80" spans="1:14" x14ac:dyDescent="0.3">
      <c r="A80" s="3"/>
      <c r="B80" s="309"/>
      <c r="C80" s="5" t="s">
        <v>732</v>
      </c>
      <c r="D80" s="135">
        <v>46.46</v>
      </c>
      <c r="E80" s="88">
        <v>24.98</v>
      </c>
      <c r="F80" s="88">
        <v>47.58</v>
      </c>
      <c r="G80" s="311"/>
    </row>
    <row r="81" spans="1:7" x14ac:dyDescent="0.4">
      <c r="A81" s="3"/>
      <c r="B81" s="309"/>
      <c r="C81" s="5" t="s">
        <v>733</v>
      </c>
      <c r="D81" s="135">
        <v>4.95</v>
      </c>
      <c r="E81" s="204">
        <v>-3.46</v>
      </c>
      <c r="F81" s="88">
        <v>4.87</v>
      </c>
      <c r="G81" s="311"/>
    </row>
    <row r="82" spans="1:7" x14ac:dyDescent="0.3">
      <c r="A82" s="3"/>
      <c r="B82" s="309"/>
      <c r="C82" s="5" t="s">
        <v>734</v>
      </c>
      <c r="D82" s="135">
        <v>1.02</v>
      </c>
      <c r="E82" s="88">
        <v>0.86</v>
      </c>
      <c r="F82" s="88">
        <v>1.1499999999999999</v>
      </c>
      <c r="G82" s="311"/>
    </row>
    <row r="83" spans="1:7" x14ac:dyDescent="0.3">
      <c r="A83" s="3"/>
      <c r="B83" s="309"/>
      <c r="C83" s="5" t="s">
        <v>735</v>
      </c>
      <c r="D83" s="153">
        <v>105.9</v>
      </c>
      <c r="E83" s="88">
        <v>113.98</v>
      </c>
      <c r="F83" s="88">
        <v>134.30000000000001</v>
      </c>
      <c r="G83" s="311"/>
    </row>
    <row r="84" spans="1:7" x14ac:dyDescent="0.3">
      <c r="A84" s="3"/>
      <c r="B84" s="298"/>
      <c r="C84" s="54"/>
      <c r="D84" s="140">
        <f>AVERAGE(D80:D83)</f>
        <v>39.582500000000003</v>
      </c>
      <c r="E84" s="157">
        <f>AVERAGE(E80:E83)</f>
        <v>34.090000000000003</v>
      </c>
      <c r="F84" s="157">
        <f>AVERAGE(F80:F83)</f>
        <v>46.975000000000001</v>
      </c>
      <c r="G84" s="311"/>
    </row>
    <row r="85" spans="1:7" x14ac:dyDescent="0.3">
      <c r="A85" s="3"/>
      <c r="B85" s="297" t="s">
        <v>59</v>
      </c>
      <c r="C85" s="54" t="s">
        <v>723</v>
      </c>
      <c r="D85" s="141">
        <v>9.36</v>
      </c>
      <c r="E85" s="90">
        <f>F68/E78</f>
        <v>12.434141201264488</v>
      </c>
      <c r="F85" s="90">
        <f>I68/F78</f>
        <v>18.646408839779003</v>
      </c>
      <c r="G85" s="311"/>
    </row>
    <row r="86" spans="1:7" x14ac:dyDescent="0.3">
      <c r="A86" s="3"/>
      <c r="B86" s="309"/>
      <c r="C86" s="54" t="s">
        <v>237</v>
      </c>
      <c r="D86" s="135"/>
      <c r="E86" s="88"/>
      <c r="F86" s="88"/>
      <c r="G86" s="311"/>
    </row>
    <row r="87" spans="1:7" x14ac:dyDescent="0.3">
      <c r="A87" s="3"/>
      <c r="B87" s="309"/>
      <c r="C87" s="5" t="s">
        <v>732</v>
      </c>
      <c r="D87" s="153">
        <v>19.3</v>
      </c>
      <c r="E87" s="90">
        <f>836.65/E80</f>
        <v>33.49279423538831</v>
      </c>
      <c r="F87" s="90">
        <f>878/F80</f>
        <v>18.453131567885666</v>
      </c>
      <c r="G87" s="311"/>
    </row>
    <row r="88" spans="1:7" x14ac:dyDescent="0.4">
      <c r="A88" s="3"/>
      <c r="B88" s="309"/>
      <c r="C88" s="5" t="s">
        <v>733</v>
      </c>
      <c r="D88" s="135">
        <v>26.37</v>
      </c>
      <c r="E88" s="226">
        <f>116/E81</f>
        <v>-33.52601156069364</v>
      </c>
      <c r="F88" s="226">
        <f>53.99/F81</f>
        <v>11.086242299794661</v>
      </c>
      <c r="G88" s="311"/>
    </row>
    <row r="89" spans="1:7" x14ac:dyDescent="0.3">
      <c r="A89" s="3"/>
      <c r="B89" s="309"/>
      <c r="C89" s="5" t="s">
        <v>734</v>
      </c>
      <c r="D89" s="135">
        <v>20.329999999999998</v>
      </c>
      <c r="E89" s="90">
        <f>16.69/E82</f>
        <v>19.40697674418605</v>
      </c>
      <c r="F89" s="90">
        <f>10.01/F82</f>
        <v>8.7043478260869573</v>
      </c>
      <c r="G89" s="311"/>
    </row>
    <row r="90" spans="1:7" x14ac:dyDescent="0.3">
      <c r="A90" s="3"/>
      <c r="B90" s="309"/>
      <c r="C90" s="5" t="s">
        <v>735</v>
      </c>
      <c r="D90" s="135">
        <v>45.35</v>
      </c>
      <c r="E90" s="90">
        <f>4528.55/E83</f>
        <v>39.731093174241096</v>
      </c>
      <c r="F90" s="90">
        <f>4955.5/F83</f>
        <v>36.898734177215189</v>
      </c>
      <c r="G90" s="311"/>
    </row>
    <row r="91" spans="1:7" x14ac:dyDescent="0.3">
      <c r="A91" s="3"/>
      <c r="B91" s="298"/>
      <c r="C91" s="54"/>
      <c r="D91" s="140">
        <f>AVERAGE(D87:D90)</f>
        <v>27.837499999999999</v>
      </c>
      <c r="E91" s="157">
        <f>AVERAGE(E87:E90)</f>
        <v>14.776213148280455</v>
      </c>
      <c r="F91" s="157">
        <f>AVERAGE(F87:F90)</f>
        <v>18.785613967745618</v>
      </c>
      <c r="G91" s="311"/>
    </row>
    <row r="92" spans="1:7" x14ac:dyDescent="0.3">
      <c r="A92" s="3"/>
      <c r="B92" s="297" t="s">
        <v>60</v>
      </c>
      <c r="C92" s="54" t="s">
        <v>723</v>
      </c>
      <c r="D92" s="142">
        <v>0.28210000000000002</v>
      </c>
      <c r="E92" s="110">
        <v>0.1255</v>
      </c>
      <c r="F92" s="110">
        <v>0.1236</v>
      </c>
      <c r="G92" s="311"/>
    </row>
    <row r="93" spans="1:7" x14ac:dyDescent="0.3">
      <c r="A93" s="3"/>
      <c r="B93" s="309"/>
      <c r="C93" s="54" t="s">
        <v>237</v>
      </c>
      <c r="D93" s="5"/>
      <c r="E93" s="88"/>
      <c r="F93" s="88"/>
      <c r="G93" s="311"/>
    </row>
    <row r="94" spans="1:7" x14ac:dyDescent="0.3">
      <c r="A94" s="3"/>
      <c r="B94" s="309"/>
      <c r="C94" s="5" t="s">
        <v>732</v>
      </c>
      <c r="D94" s="205">
        <v>0.1744</v>
      </c>
      <c r="E94" s="110">
        <v>8.43E-2</v>
      </c>
      <c r="F94" s="110">
        <v>0.14680000000000001</v>
      </c>
      <c r="G94" s="311"/>
    </row>
    <row r="95" spans="1:7" x14ac:dyDescent="0.4">
      <c r="A95" s="3"/>
      <c r="B95" s="309"/>
      <c r="C95" s="5" t="s">
        <v>733</v>
      </c>
      <c r="D95" s="126">
        <v>6.2899999999999998E-2</v>
      </c>
      <c r="E95" s="225">
        <v>7.7600000000000002E-2</v>
      </c>
      <c r="F95" s="110">
        <v>6.0499999999999998E-2</v>
      </c>
      <c r="G95" s="311"/>
    </row>
    <row r="96" spans="1:7" x14ac:dyDescent="0.3">
      <c r="A96" s="3"/>
      <c r="B96" s="309"/>
      <c r="C96" s="5" t="s">
        <v>734</v>
      </c>
      <c r="D96" s="126">
        <v>9.8299999999999998E-2</v>
      </c>
      <c r="E96" s="110">
        <v>7.7600000000000002E-2</v>
      </c>
      <c r="F96" s="110">
        <v>9.0499999999999997E-2</v>
      </c>
      <c r="G96" s="311"/>
    </row>
    <row r="97" spans="1:16" x14ac:dyDescent="0.3">
      <c r="A97" s="3"/>
      <c r="B97" s="309"/>
      <c r="C97" s="5" t="s">
        <v>735</v>
      </c>
      <c r="D97" s="126">
        <v>0.53249999999999997</v>
      </c>
      <c r="E97" s="110">
        <v>0.48559999999999998</v>
      </c>
      <c r="F97" s="110">
        <v>0.48139999999999999</v>
      </c>
      <c r="G97" s="311"/>
    </row>
    <row r="98" spans="1:16" x14ac:dyDescent="0.3">
      <c r="A98" s="3"/>
      <c r="B98" s="298"/>
      <c r="C98" s="54"/>
      <c r="D98" s="140">
        <f>AVERAGE(D94:D97)</f>
        <v>0.217025</v>
      </c>
      <c r="E98" s="140">
        <f>AVERAGE(E94:E97)</f>
        <v>0.18127499999999999</v>
      </c>
      <c r="F98" s="140">
        <f>AVERAGE(F94:F97)</f>
        <v>0.1948</v>
      </c>
      <c r="G98" s="311"/>
    </row>
    <row r="99" spans="1:16" x14ac:dyDescent="0.3">
      <c r="A99" s="3"/>
      <c r="B99" s="310" t="s">
        <v>61</v>
      </c>
      <c r="C99" s="54" t="s">
        <v>723</v>
      </c>
      <c r="D99" s="135">
        <v>45.45</v>
      </c>
      <c r="E99" s="88">
        <v>64.66</v>
      </c>
      <c r="F99" s="88">
        <v>73.209999999999994</v>
      </c>
      <c r="G99" s="311"/>
    </row>
    <row r="100" spans="1:16" x14ac:dyDescent="0.3">
      <c r="A100" s="3"/>
      <c r="B100" s="310"/>
      <c r="C100" s="54" t="s">
        <v>237</v>
      </c>
      <c r="D100" s="135"/>
      <c r="E100" s="88"/>
      <c r="F100" s="88"/>
      <c r="G100" s="311"/>
    </row>
    <row r="101" spans="1:16" x14ac:dyDescent="0.3">
      <c r="A101" s="3"/>
      <c r="B101" s="310"/>
      <c r="C101" s="5" t="s">
        <v>732</v>
      </c>
      <c r="D101" s="135">
        <v>266.49</v>
      </c>
      <c r="E101" s="88">
        <v>296.33</v>
      </c>
      <c r="F101" s="88">
        <v>324.01</v>
      </c>
      <c r="G101" s="311"/>
    </row>
    <row r="102" spans="1:16" x14ac:dyDescent="0.4">
      <c r="A102" s="3"/>
      <c r="B102" s="310"/>
      <c r="C102" s="5" t="s">
        <v>733</v>
      </c>
      <c r="D102" s="135">
        <v>78.61</v>
      </c>
      <c r="E102" s="204">
        <v>11.33</v>
      </c>
      <c r="F102" s="88">
        <v>41.37</v>
      </c>
      <c r="G102" s="311"/>
    </row>
    <row r="103" spans="1:16" x14ac:dyDescent="0.3">
      <c r="A103" s="3"/>
      <c r="B103" s="310"/>
      <c r="C103" s="5" t="s">
        <v>734</v>
      </c>
      <c r="D103" s="135">
        <v>10.47</v>
      </c>
      <c r="E103" s="88">
        <v>11.33</v>
      </c>
      <c r="F103" s="88">
        <v>12.48</v>
      </c>
      <c r="G103" s="311"/>
    </row>
    <row r="104" spans="1:16" x14ac:dyDescent="0.3">
      <c r="A104" s="3"/>
      <c r="B104" s="310"/>
      <c r="C104" s="5" t="s">
        <v>735</v>
      </c>
      <c r="D104" s="135">
        <v>198.87</v>
      </c>
      <c r="E104" s="88">
        <v>234.68</v>
      </c>
      <c r="F104" s="88">
        <v>278.94</v>
      </c>
      <c r="G104" s="311"/>
    </row>
    <row r="105" spans="1:16" x14ac:dyDescent="0.35">
      <c r="A105" s="3"/>
      <c r="B105" s="310"/>
      <c r="C105" s="54"/>
      <c r="D105" s="144">
        <f>AVERAGE(D101:D104)</f>
        <v>138.61000000000001</v>
      </c>
      <c r="E105" s="144">
        <f>AVERAGE(E101:E104)</f>
        <v>138.41749999999999</v>
      </c>
      <c r="F105" s="144">
        <f>AVERAGE(F101:F104)</f>
        <v>164.2</v>
      </c>
      <c r="G105" s="311"/>
    </row>
    <row r="106" spans="1:16" x14ac:dyDescent="0.3">
      <c r="A106" s="3"/>
      <c r="B106" s="301"/>
      <c r="C106" s="302"/>
      <c r="D106" s="302"/>
      <c r="E106" s="302"/>
      <c r="F106" s="302"/>
      <c r="G106" s="303"/>
    </row>
    <row r="107" spans="1:16" x14ac:dyDescent="0.3">
      <c r="A107" s="2"/>
      <c r="B107" s="253" t="s">
        <v>82</v>
      </c>
      <c r="C107" s="270"/>
      <c r="D107" s="270"/>
      <c r="E107" s="270"/>
      <c r="F107" s="270"/>
      <c r="G107" s="254"/>
      <c r="H107" s="2"/>
      <c r="I107" s="2"/>
      <c r="J107" s="2"/>
      <c r="K107" s="2"/>
      <c r="L107" s="2"/>
      <c r="M107" s="2"/>
      <c r="N107" s="2"/>
      <c r="O107" s="2"/>
      <c r="P107" s="2"/>
    </row>
    <row r="108" spans="1:16" x14ac:dyDescent="0.3">
      <c r="A108" s="3"/>
      <c r="B108" s="304" t="s">
        <v>727</v>
      </c>
      <c r="C108" s="242"/>
      <c r="D108" s="242"/>
      <c r="E108" s="242"/>
      <c r="F108" s="242"/>
      <c r="G108" s="305"/>
    </row>
    <row r="109" spans="1:16" x14ac:dyDescent="0.3">
      <c r="A109" s="3"/>
      <c r="B109" s="248"/>
      <c r="C109" s="248"/>
      <c r="D109" s="248"/>
      <c r="E109" s="55"/>
      <c r="F109" s="55"/>
      <c r="G109" s="55"/>
    </row>
    <row r="110" spans="1:16" x14ac:dyDescent="0.3">
      <c r="C110" s="306"/>
      <c r="D110" s="306"/>
      <c r="E110" s="306"/>
      <c r="F110" s="306"/>
      <c r="G110" s="306"/>
    </row>
    <row r="111" spans="1:16" x14ac:dyDescent="0.3">
      <c r="A111" s="3">
        <v>14</v>
      </c>
      <c r="B111" s="54" t="s">
        <v>63</v>
      </c>
      <c r="C111" s="307" t="s">
        <v>50</v>
      </c>
      <c r="D111" s="308"/>
      <c r="E111" s="308"/>
      <c r="F111" s="308"/>
      <c r="G111" s="249"/>
    </row>
    <row r="112" spans="1:16" x14ac:dyDescent="0.3">
      <c r="C112" s="55"/>
      <c r="D112" s="55"/>
      <c r="E112" s="55"/>
      <c r="F112" s="55"/>
      <c r="G112" s="55"/>
    </row>
    <row r="113" spans="2:8" x14ac:dyDescent="0.3">
      <c r="B113" s="299" t="s">
        <v>728</v>
      </c>
      <c r="C113" s="299"/>
      <c r="D113" s="299"/>
      <c r="E113" s="299"/>
      <c r="F113" s="299"/>
      <c r="G113" s="299"/>
      <c r="H113" s="299"/>
    </row>
    <row r="118" spans="2:8" x14ac:dyDescent="0.3">
      <c r="D118" s="56"/>
      <c r="E118" s="56"/>
    </row>
    <row r="119" spans="2:8" x14ac:dyDescent="0.3">
      <c r="E119" s="56"/>
    </row>
  </sheetData>
  <mergeCells count="63">
    <mergeCell ref="C20:E20"/>
    <mergeCell ref="A1:B1"/>
    <mergeCell ref="C3:E3"/>
    <mergeCell ref="C5:E5"/>
    <mergeCell ref="B6:D6"/>
    <mergeCell ref="B9:D9"/>
    <mergeCell ref="C11:E11"/>
    <mergeCell ref="B12:D12"/>
    <mergeCell ref="C14:E14"/>
    <mergeCell ref="B15:D15"/>
    <mergeCell ref="B17:C17"/>
    <mergeCell ref="B19:E19"/>
    <mergeCell ref="B41:E41"/>
    <mergeCell ref="C21:E21"/>
    <mergeCell ref="C22:E22"/>
    <mergeCell ref="C23:E23"/>
    <mergeCell ref="C24:E24"/>
    <mergeCell ref="B26:E26"/>
    <mergeCell ref="B27:E27"/>
    <mergeCell ref="E29:E32"/>
    <mergeCell ref="B33:E33"/>
    <mergeCell ref="B35:E35"/>
    <mergeCell ref="B39:D39"/>
    <mergeCell ref="B58:E58"/>
    <mergeCell ref="C42:E42"/>
    <mergeCell ref="C43:E43"/>
    <mergeCell ref="C44:E44"/>
    <mergeCell ref="B45:E45"/>
    <mergeCell ref="B47:E47"/>
    <mergeCell ref="B50:E50"/>
    <mergeCell ref="B53:E53"/>
    <mergeCell ref="B54:B55"/>
    <mergeCell ref="C54:E55"/>
    <mergeCell ref="C56:E56"/>
    <mergeCell ref="C57:E57"/>
    <mergeCell ref="B70:N70"/>
    <mergeCell ref="C60:E60"/>
    <mergeCell ref="C61:E61"/>
    <mergeCell ref="C62:E62"/>
    <mergeCell ref="B66:B67"/>
    <mergeCell ref="C66:C67"/>
    <mergeCell ref="D66:D67"/>
    <mergeCell ref="E66:E67"/>
    <mergeCell ref="F66:H66"/>
    <mergeCell ref="I66:K66"/>
    <mergeCell ref="L66:N66"/>
    <mergeCell ref="L68:N69"/>
    <mergeCell ref="B71:F71"/>
    <mergeCell ref="B72:F72"/>
    <mergeCell ref="B73:F73"/>
    <mergeCell ref="B75:G75"/>
    <mergeCell ref="B78:B84"/>
    <mergeCell ref="G78:G105"/>
    <mergeCell ref="B85:B91"/>
    <mergeCell ref="B92:B98"/>
    <mergeCell ref="B99:B105"/>
    <mergeCell ref="B113:H113"/>
    <mergeCell ref="B106:G106"/>
    <mergeCell ref="B107:G107"/>
    <mergeCell ref="B108:G108"/>
    <mergeCell ref="B109:D109"/>
    <mergeCell ref="C110:G110"/>
    <mergeCell ref="C111:G111"/>
  </mergeCells>
  <pageMargins left="0.7" right="0.7" top="0.75" bottom="0.75" header="0.3" footer="0.3"/>
  <pageSetup paperSize="9" scale="23" orientation="portrait" r:id="rId1"/>
  <colBreaks count="1" manualBreakCount="1">
    <brk id="15"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976B1-1708-40EB-878E-85B9BB84451F}">
  <dimension ref="A1:Q141"/>
  <sheetViews>
    <sheetView view="pageBreakPreview" topLeftCell="A99" zoomScale="39" zoomScaleNormal="82" zoomScaleSheetLayoutView="82" workbookViewId="0">
      <selection activeCell="D82" sqref="D82"/>
    </sheetView>
  </sheetViews>
  <sheetFormatPr defaultRowHeight="21" x14ac:dyDescent="0.3"/>
  <cols>
    <col min="1" max="1" width="8.88671875" style="1"/>
    <col min="2" max="2" width="58.33203125" style="1" customWidth="1"/>
    <col min="3" max="3" width="81" style="1" customWidth="1"/>
    <col min="4" max="4" width="73.109375" style="1" customWidth="1"/>
    <col min="5" max="5" width="23.33203125" style="1" customWidth="1"/>
    <col min="6" max="6" width="16.88671875" style="1" customWidth="1"/>
    <col min="7" max="7" width="14.21875" style="1" bestFit="1" customWidth="1"/>
    <col min="8" max="8" width="14.109375" style="1" bestFit="1" customWidth="1"/>
    <col min="9" max="9" width="12.44140625" style="1" customWidth="1"/>
    <col min="10" max="10" width="11.33203125" style="1" customWidth="1"/>
    <col min="11" max="11" width="11.44140625" style="1" customWidth="1"/>
    <col min="12" max="14" width="8.88671875" style="1"/>
    <col min="15" max="16" width="15.33203125" style="1" bestFit="1" customWidth="1"/>
    <col min="17" max="17" width="18.5546875" bestFit="1" customWidth="1"/>
  </cols>
  <sheetData>
    <row r="1" spans="1:5" x14ac:dyDescent="0.3">
      <c r="A1" s="246" t="s">
        <v>0</v>
      </c>
      <c r="B1" s="246"/>
      <c r="D1" s="2"/>
    </row>
    <row r="3" spans="1:5" ht="40.799999999999997" x14ac:dyDescent="0.3">
      <c r="A3" s="3" t="s">
        <v>1</v>
      </c>
      <c r="B3" s="54" t="s">
        <v>2</v>
      </c>
      <c r="C3" s="406" t="s">
        <v>824</v>
      </c>
      <c r="D3" s="406"/>
      <c r="E3" s="406"/>
    </row>
    <row r="4" spans="1:5" x14ac:dyDescent="0.3">
      <c r="D4" s="22"/>
    </row>
    <row r="5" spans="1:5" x14ac:dyDescent="0.3">
      <c r="A5" s="62">
        <v>1</v>
      </c>
      <c r="B5" s="63" t="s">
        <v>3</v>
      </c>
      <c r="C5" s="247" t="s">
        <v>529</v>
      </c>
      <c r="D5" s="248"/>
      <c r="E5" s="249"/>
    </row>
    <row r="6" spans="1:5" x14ac:dyDescent="0.3">
      <c r="A6" s="3"/>
      <c r="B6" s="250" t="s">
        <v>4</v>
      </c>
      <c r="C6" s="251"/>
      <c r="D6" s="252"/>
      <c r="E6" s="10"/>
    </row>
    <row r="7" spans="1:5" x14ac:dyDescent="0.3">
      <c r="A7" s="3"/>
      <c r="B7" s="2"/>
      <c r="D7" s="22"/>
    </row>
    <row r="8" spans="1:5" x14ac:dyDescent="0.3">
      <c r="A8" s="3">
        <v>2</v>
      </c>
      <c r="B8" s="63" t="s">
        <v>825</v>
      </c>
      <c r="C8" s="12" t="s">
        <v>826</v>
      </c>
      <c r="D8" s="22"/>
    </row>
    <row r="9" spans="1:5" x14ac:dyDescent="0.3">
      <c r="A9" s="3"/>
      <c r="B9" s="250" t="s">
        <v>4</v>
      </c>
      <c r="C9" s="251"/>
      <c r="D9" s="252"/>
    </row>
    <row r="10" spans="1:5" x14ac:dyDescent="0.3">
      <c r="A10" s="3"/>
      <c r="B10" s="2"/>
      <c r="D10" s="22"/>
    </row>
    <row r="11" spans="1:5" ht="40.799999999999997" x14ac:dyDescent="0.3">
      <c r="A11" s="3">
        <v>3</v>
      </c>
      <c r="B11" s="63" t="s">
        <v>6</v>
      </c>
      <c r="C11" s="247" t="s">
        <v>90</v>
      </c>
      <c r="D11" s="248"/>
      <c r="E11" s="249"/>
    </row>
    <row r="12" spans="1:5" x14ac:dyDescent="0.3">
      <c r="A12" s="3"/>
      <c r="B12" s="250" t="s">
        <v>4</v>
      </c>
      <c r="C12" s="251"/>
      <c r="D12" s="252"/>
      <c r="E12" s="10"/>
    </row>
    <row r="13" spans="1:5" x14ac:dyDescent="0.3">
      <c r="A13" s="3"/>
      <c r="B13" s="2"/>
      <c r="D13" s="22"/>
    </row>
    <row r="14" spans="1:5" x14ac:dyDescent="0.3">
      <c r="A14" s="3">
        <v>4</v>
      </c>
      <c r="B14" s="54" t="s">
        <v>92</v>
      </c>
      <c r="C14" s="247" t="s">
        <v>464</v>
      </c>
      <c r="D14" s="248"/>
      <c r="E14" s="249"/>
    </row>
    <row r="15" spans="1:5" x14ac:dyDescent="0.3">
      <c r="A15" s="3"/>
      <c r="B15" s="250" t="s">
        <v>4</v>
      </c>
      <c r="C15" s="251"/>
      <c r="D15" s="252"/>
    </row>
    <row r="16" spans="1:5" x14ac:dyDescent="0.3">
      <c r="A16" s="3">
        <v>4</v>
      </c>
      <c r="B16" s="54" t="s">
        <v>7</v>
      </c>
      <c r="C16" s="5" t="s">
        <v>827</v>
      </c>
      <c r="D16" s="22"/>
    </row>
    <row r="17" spans="1:14" x14ac:dyDescent="0.3">
      <c r="A17" s="3"/>
      <c r="B17" s="253" t="s">
        <v>8</v>
      </c>
      <c r="C17" s="254"/>
      <c r="D17" s="22"/>
    </row>
    <row r="18" spans="1:14" x14ac:dyDescent="0.3">
      <c r="A18" s="3"/>
      <c r="D18" s="22"/>
    </row>
    <row r="19" spans="1:14" x14ac:dyDescent="0.3">
      <c r="A19" s="3">
        <v>5</v>
      </c>
      <c r="B19" s="255" t="s">
        <v>9</v>
      </c>
      <c r="C19" s="256"/>
      <c r="D19" s="256"/>
      <c r="E19" s="257"/>
      <c r="F19" s="2"/>
      <c r="G19" s="2"/>
      <c r="H19" s="2"/>
      <c r="I19" s="2"/>
      <c r="J19" s="10"/>
      <c r="K19" s="10"/>
      <c r="L19" s="10"/>
      <c r="M19" s="10"/>
      <c r="N19" s="10"/>
    </row>
    <row r="20" spans="1:14" x14ac:dyDescent="0.3">
      <c r="A20" s="3"/>
      <c r="B20" s="65" t="s">
        <v>829</v>
      </c>
      <c r="C20" s="454">
        <v>4.2599999999999999E-2</v>
      </c>
      <c r="D20" s="455"/>
      <c r="E20" s="456"/>
      <c r="F20" s="66"/>
      <c r="G20" s="10"/>
      <c r="H20" s="10"/>
      <c r="I20" s="10"/>
      <c r="J20" s="10"/>
      <c r="K20" s="10"/>
      <c r="L20" s="10"/>
      <c r="M20" s="10"/>
      <c r="N20" s="10"/>
    </row>
    <row r="21" spans="1:14" ht="61.2" x14ac:dyDescent="0.3">
      <c r="A21" s="3"/>
      <c r="B21" s="65" t="s">
        <v>828</v>
      </c>
      <c r="C21" s="243">
        <v>3.8399999999999997E-2</v>
      </c>
      <c r="D21" s="439"/>
      <c r="E21" s="440"/>
      <c r="F21" s="66"/>
      <c r="G21" s="10"/>
      <c r="I21" s="10"/>
      <c r="J21" s="10"/>
      <c r="K21" s="10"/>
      <c r="L21" s="10"/>
      <c r="M21" s="10"/>
      <c r="N21" s="10"/>
    </row>
    <row r="22" spans="1:14" x14ac:dyDescent="0.3">
      <c r="A22" s="3"/>
      <c r="B22" s="65" t="s">
        <v>830</v>
      </c>
      <c r="C22" s="369">
        <v>1.5900000000000001E-2</v>
      </c>
      <c r="D22" s="370"/>
      <c r="E22" s="371"/>
      <c r="F22" s="66"/>
      <c r="G22" s="10"/>
      <c r="H22" s="10"/>
      <c r="I22" s="10"/>
      <c r="J22" s="10"/>
      <c r="K22" s="10"/>
      <c r="L22" s="10"/>
      <c r="M22" s="10"/>
      <c r="N22" s="10"/>
    </row>
    <row r="23" spans="1:14" x14ac:dyDescent="0.3">
      <c r="A23" s="3"/>
      <c r="B23" s="64" t="s">
        <v>831</v>
      </c>
      <c r="C23" s="442" t="s">
        <v>78</v>
      </c>
      <c r="D23" s="370"/>
      <c r="E23" s="371"/>
      <c r="F23" s="66"/>
      <c r="G23" s="10"/>
      <c r="H23" s="10"/>
      <c r="I23" s="10"/>
      <c r="J23" s="10"/>
      <c r="K23" s="10"/>
      <c r="L23" s="10"/>
      <c r="M23" s="10"/>
      <c r="N23" s="10"/>
    </row>
    <row r="24" spans="1:14" x14ac:dyDescent="0.3">
      <c r="A24" s="3"/>
      <c r="B24" s="67" t="s">
        <v>832</v>
      </c>
      <c r="C24" s="401" t="s">
        <v>15</v>
      </c>
      <c r="D24" s="401"/>
      <c r="E24" s="401"/>
      <c r="F24" s="66"/>
      <c r="G24" s="10"/>
      <c r="H24" s="10"/>
      <c r="I24" s="10"/>
      <c r="J24" s="10"/>
      <c r="K24" s="10"/>
      <c r="L24" s="10"/>
      <c r="M24" s="10"/>
      <c r="N24" s="10"/>
    </row>
    <row r="25" spans="1:14" x14ac:dyDescent="0.3">
      <c r="A25" s="3"/>
      <c r="B25" s="66" t="s">
        <v>64</v>
      </c>
      <c r="C25" s="66"/>
      <c r="D25" s="66"/>
      <c r="E25" s="66"/>
      <c r="F25" s="66"/>
      <c r="G25" s="10"/>
      <c r="H25" s="10"/>
      <c r="I25" s="10"/>
      <c r="J25" s="10"/>
      <c r="K25" s="10"/>
      <c r="L25" s="10"/>
      <c r="M25" s="10"/>
      <c r="N25" s="10"/>
    </row>
    <row r="26" spans="1:14" x14ac:dyDescent="0.3">
      <c r="A26" s="3">
        <v>6</v>
      </c>
      <c r="B26" s="261" t="s">
        <v>74</v>
      </c>
      <c r="C26" s="262"/>
      <c r="D26" s="262"/>
      <c r="E26" s="263"/>
      <c r="F26" s="2"/>
      <c r="G26" s="2"/>
      <c r="H26" s="10"/>
      <c r="I26" s="2"/>
      <c r="J26" s="2"/>
    </row>
    <row r="27" spans="1:14" x14ac:dyDescent="0.3">
      <c r="A27" s="3"/>
      <c r="B27" s="264" t="s">
        <v>17</v>
      </c>
      <c r="C27" s="265"/>
      <c r="D27" s="265"/>
      <c r="E27" s="266"/>
      <c r="F27" s="66"/>
    </row>
    <row r="28" spans="1:14" ht="40.799999999999997" x14ac:dyDescent="0.3">
      <c r="A28" s="3"/>
      <c r="B28" s="67" t="s">
        <v>693</v>
      </c>
      <c r="C28" s="25" t="s">
        <v>833</v>
      </c>
      <c r="D28" s="25" t="s">
        <v>834</v>
      </c>
      <c r="E28" s="25" t="s">
        <v>835</v>
      </c>
      <c r="F28" s="66"/>
    </row>
    <row r="29" spans="1:14" x14ac:dyDescent="0.3">
      <c r="A29" s="3"/>
      <c r="B29" s="68" t="s">
        <v>21</v>
      </c>
      <c r="C29" s="127">
        <v>104832.93</v>
      </c>
      <c r="D29" s="267" t="s">
        <v>78</v>
      </c>
      <c r="E29" s="267" t="s">
        <v>22</v>
      </c>
      <c r="F29" s="66"/>
    </row>
    <row r="30" spans="1:14" x14ac:dyDescent="0.3">
      <c r="A30" s="3"/>
      <c r="B30" s="68" t="s">
        <v>23</v>
      </c>
      <c r="C30" s="127">
        <v>3904.89</v>
      </c>
      <c r="D30" s="268"/>
      <c r="E30" s="268"/>
      <c r="F30" s="66"/>
    </row>
    <row r="31" spans="1:14" x14ac:dyDescent="0.3">
      <c r="A31" s="3"/>
      <c r="B31" s="68" t="s">
        <v>24</v>
      </c>
      <c r="C31" s="127">
        <v>3340.05</v>
      </c>
      <c r="D31" s="268"/>
      <c r="E31" s="268"/>
      <c r="F31" s="66"/>
      <c r="H31" s="57"/>
    </row>
    <row r="32" spans="1:14" x14ac:dyDescent="0.3">
      <c r="A32" s="3"/>
      <c r="B32" s="68" t="s">
        <v>25</v>
      </c>
      <c r="C32" s="127">
        <v>33049.19</v>
      </c>
      <c r="D32" s="269"/>
      <c r="E32" s="269"/>
      <c r="F32" s="66"/>
    </row>
    <row r="33" spans="1:10" x14ac:dyDescent="0.3">
      <c r="A33" s="3"/>
      <c r="B33" s="253" t="s">
        <v>191</v>
      </c>
      <c r="C33" s="270"/>
      <c r="D33" s="270"/>
      <c r="E33" s="254"/>
      <c r="F33" s="66"/>
    </row>
    <row r="34" spans="1:10" x14ac:dyDescent="0.3">
      <c r="A34" s="3"/>
      <c r="B34" s="10"/>
      <c r="C34" s="66"/>
      <c r="D34" s="66"/>
      <c r="E34" s="66"/>
      <c r="F34" s="66"/>
    </row>
    <row r="35" spans="1:10" x14ac:dyDescent="0.3">
      <c r="A35" s="3">
        <v>7</v>
      </c>
      <c r="B35" s="261" t="s">
        <v>26</v>
      </c>
      <c r="C35" s="262"/>
      <c r="D35" s="262"/>
      <c r="E35" s="263"/>
      <c r="F35" s="2"/>
      <c r="G35" s="2"/>
      <c r="H35" s="2"/>
      <c r="I35" s="2"/>
      <c r="J35" s="2"/>
    </row>
    <row r="36" spans="1:10" ht="46.8" customHeight="1" x14ac:dyDescent="0.3">
      <c r="A36" s="3"/>
      <c r="B36" s="310" t="s">
        <v>836</v>
      </c>
      <c r="C36" s="310"/>
      <c r="D36" s="310"/>
      <c r="E36" s="310"/>
      <c r="F36" s="2"/>
      <c r="G36" s="2"/>
      <c r="H36" s="2"/>
      <c r="I36" s="2"/>
      <c r="J36" s="2"/>
    </row>
    <row r="37" spans="1:10" x14ac:dyDescent="0.3">
      <c r="A37" s="3"/>
      <c r="B37" s="147" t="s">
        <v>247</v>
      </c>
      <c r="C37" s="27" t="s">
        <v>496</v>
      </c>
      <c r="D37" s="130"/>
      <c r="E37" s="130"/>
      <c r="F37" s="10"/>
    </row>
    <row r="38" spans="1:10" x14ac:dyDescent="0.3">
      <c r="A38" s="3"/>
      <c r="B38" s="67" t="s">
        <v>28</v>
      </c>
      <c r="C38" s="117" t="s">
        <v>78</v>
      </c>
      <c r="D38" s="10"/>
      <c r="E38" s="10"/>
      <c r="F38" s="10"/>
    </row>
    <row r="39" spans="1:10" x14ac:dyDescent="0.3">
      <c r="A39" s="3"/>
      <c r="B39" s="67" t="s">
        <v>29</v>
      </c>
      <c r="C39" s="27" t="s">
        <v>15</v>
      </c>
      <c r="D39" s="10"/>
      <c r="E39" s="10"/>
      <c r="F39" s="10"/>
    </row>
    <row r="40" spans="1:10" x14ac:dyDescent="0.3">
      <c r="A40" s="3"/>
      <c r="B40" s="271" t="s">
        <v>837</v>
      </c>
      <c r="C40" s="271"/>
      <c r="D40" s="271"/>
      <c r="E40" s="10"/>
      <c r="F40" s="10"/>
    </row>
    <row r="41" spans="1:10" x14ac:dyDescent="0.3">
      <c r="A41" s="3"/>
      <c r="B41" s="66"/>
      <c r="C41" s="10"/>
      <c r="D41" s="10"/>
      <c r="E41" s="10"/>
      <c r="F41" s="10"/>
    </row>
    <row r="42" spans="1:10" x14ac:dyDescent="0.3">
      <c r="A42" s="3">
        <v>8</v>
      </c>
      <c r="B42" s="261" t="s">
        <v>30</v>
      </c>
      <c r="C42" s="262"/>
      <c r="D42" s="262"/>
      <c r="E42" s="263"/>
      <c r="F42" s="2"/>
      <c r="G42" s="2"/>
      <c r="H42" s="2"/>
      <c r="I42" s="2"/>
      <c r="J42" s="2"/>
    </row>
    <row r="43" spans="1:10" x14ac:dyDescent="0.3">
      <c r="A43" s="3"/>
      <c r="B43" s="67" t="s">
        <v>31</v>
      </c>
      <c r="C43" s="258" t="s">
        <v>919</v>
      </c>
      <c r="D43" s="259"/>
      <c r="E43" s="260"/>
      <c r="F43" s="10"/>
    </row>
    <row r="44" spans="1:10" x14ac:dyDescent="0.3">
      <c r="A44" s="3"/>
      <c r="B44" s="67" t="s">
        <v>28</v>
      </c>
      <c r="C44" s="258" t="s">
        <v>78</v>
      </c>
      <c r="D44" s="259"/>
      <c r="E44" s="260"/>
      <c r="F44" s="10"/>
    </row>
    <row r="45" spans="1:10" x14ac:dyDescent="0.3">
      <c r="A45" s="3"/>
      <c r="B45" s="67" t="s">
        <v>29</v>
      </c>
      <c r="C45" s="258" t="s">
        <v>15</v>
      </c>
      <c r="D45" s="259"/>
      <c r="E45" s="260"/>
      <c r="F45" s="10"/>
    </row>
    <row r="46" spans="1:10" x14ac:dyDescent="0.3">
      <c r="A46" s="3"/>
      <c r="B46" s="253" t="s">
        <v>198</v>
      </c>
      <c r="C46" s="270"/>
      <c r="D46" s="270"/>
      <c r="E46" s="254"/>
      <c r="F46" s="10"/>
    </row>
    <row r="47" spans="1:10" x14ac:dyDescent="0.3">
      <c r="A47" s="3"/>
      <c r="D47" s="22"/>
      <c r="E47" s="10"/>
    </row>
    <row r="48" spans="1:10" x14ac:dyDescent="0.3">
      <c r="A48" s="191">
        <v>9</v>
      </c>
      <c r="B48" s="262" t="s">
        <v>32</v>
      </c>
      <c r="C48" s="262"/>
      <c r="D48" s="262"/>
      <c r="E48" s="263"/>
      <c r="F48" s="2"/>
      <c r="G48" s="2"/>
      <c r="H48" s="2"/>
      <c r="I48" s="2"/>
    </row>
    <row r="49" spans="1:16" ht="81.599999999999994" x14ac:dyDescent="0.3">
      <c r="A49" s="191"/>
      <c r="B49" s="24" t="s">
        <v>33</v>
      </c>
      <c r="C49" s="25" t="s">
        <v>34</v>
      </c>
      <c r="D49" s="25" t="s">
        <v>96</v>
      </c>
      <c r="E49" s="25" t="s">
        <v>35</v>
      </c>
    </row>
    <row r="50" spans="1:16" ht="137.25" customHeight="1" x14ac:dyDescent="0.3">
      <c r="A50" s="191"/>
      <c r="B50" s="195" t="s">
        <v>838</v>
      </c>
      <c r="C50" s="195" t="s">
        <v>839</v>
      </c>
      <c r="D50" s="195" t="s">
        <v>920</v>
      </c>
      <c r="E50" s="27" t="s">
        <v>121</v>
      </c>
    </row>
    <row r="51" spans="1:16" ht="15.6" customHeight="1" x14ac:dyDescent="0.3">
      <c r="A51" s="191"/>
      <c r="B51" s="242"/>
      <c r="C51" s="242"/>
      <c r="D51" s="270"/>
      <c r="E51" s="254"/>
    </row>
    <row r="52" spans="1:16" x14ac:dyDescent="0.3">
      <c r="A52" s="191"/>
      <c r="B52" s="160" t="s">
        <v>921</v>
      </c>
      <c r="C52" s="146"/>
      <c r="D52" s="87"/>
      <c r="E52" s="87"/>
    </row>
    <row r="53" spans="1:16" x14ac:dyDescent="0.3">
      <c r="A53" s="191"/>
      <c r="B53" s="28"/>
      <c r="C53" s="22"/>
      <c r="D53" s="22"/>
      <c r="E53" s="22"/>
      <c r="F53" s="66"/>
      <c r="G53" s="66"/>
      <c r="H53" s="66"/>
      <c r="I53" s="66"/>
    </row>
    <row r="54" spans="1:16" x14ac:dyDescent="0.3">
      <c r="A54" s="191">
        <v>10</v>
      </c>
      <c r="B54" s="262" t="s">
        <v>32</v>
      </c>
      <c r="C54" s="262"/>
      <c r="D54" s="262"/>
      <c r="E54" s="263"/>
      <c r="F54" s="66"/>
      <c r="G54" s="66"/>
      <c r="H54" s="66"/>
    </row>
    <row r="55" spans="1:16" x14ac:dyDescent="0.3">
      <c r="A55" s="191"/>
      <c r="B55" s="275" t="s">
        <v>36</v>
      </c>
      <c r="C55" s="277" t="s">
        <v>839</v>
      </c>
      <c r="D55" s="278"/>
      <c r="E55" s="279"/>
      <c r="K55" s="2"/>
    </row>
    <row r="56" spans="1:16" ht="56.25" customHeight="1" x14ac:dyDescent="0.3">
      <c r="A56" s="191"/>
      <c r="B56" s="276"/>
      <c r="C56" s="280"/>
      <c r="D56" s="281"/>
      <c r="E56" s="282"/>
      <c r="K56" s="2"/>
    </row>
    <row r="57" spans="1:16" ht="81" customHeight="1" x14ac:dyDescent="0.3">
      <c r="A57" s="191"/>
      <c r="B57" s="29" t="s">
        <v>37</v>
      </c>
      <c r="C57" s="283" t="s">
        <v>920</v>
      </c>
      <c r="D57" s="284"/>
      <c r="E57" s="285"/>
    </row>
    <row r="58" spans="1:16" x14ac:dyDescent="0.3">
      <c r="A58" s="191"/>
      <c r="B58" s="29" t="s">
        <v>38</v>
      </c>
      <c r="C58" s="286" t="s">
        <v>121</v>
      </c>
      <c r="D58" s="287"/>
      <c r="E58" s="288"/>
      <c r="K58" s="30"/>
    </row>
    <row r="59" spans="1:16" x14ac:dyDescent="0.3">
      <c r="A59" s="191"/>
      <c r="B59" s="308"/>
      <c r="C59" s="308"/>
      <c r="D59" s="308"/>
      <c r="E59" s="249"/>
      <c r="K59" s="30"/>
    </row>
    <row r="60" spans="1:16" x14ac:dyDescent="0.4">
      <c r="A60" s="111" t="s">
        <v>39</v>
      </c>
      <c r="B60" s="290" t="s">
        <v>922</v>
      </c>
      <c r="C60" s="290"/>
      <c r="D60" s="290"/>
      <c r="E60" s="291"/>
      <c r="F60" s="32"/>
      <c r="G60" s="32"/>
      <c r="H60" s="32"/>
      <c r="I60" s="32"/>
      <c r="J60" s="32"/>
      <c r="K60" s="32"/>
      <c r="L60" s="32"/>
      <c r="M60" s="32"/>
      <c r="N60" s="32"/>
      <c r="O60" s="32"/>
      <c r="P60" s="32"/>
    </row>
    <row r="61" spans="1:16" x14ac:dyDescent="0.3">
      <c r="A61" s="71"/>
      <c r="B61" s="72"/>
      <c r="C61" s="73"/>
      <c r="D61" s="73"/>
      <c r="E61" s="73"/>
      <c r="F61" s="73"/>
    </row>
    <row r="62" spans="1:16" x14ac:dyDescent="0.3">
      <c r="A62" s="3">
        <v>11</v>
      </c>
      <c r="B62" s="54" t="s">
        <v>41</v>
      </c>
      <c r="C62" s="270" t="s">
        <v>121</v>
      </c>
      <c r="D62" s="270"/>
      <c r="E62" s="270"/>
      <c r="F62" s="2"/>
      <c r="G62" s="2"/>
      <c r="H62" s="74"/>
      <c r="I62" s="2"/>
      <c r="J62" s="2"/>
    </row>
    <row r="63" spans="1:16" x14ac:dyDescent="0.3">
      <c r="A63" s="3"/>
      <c r="B63" s="66"/>
      <c r="C63" s="270"/>
      <c r="D63" s="270"/>
      <c r="E63" s="270"/>
      <c r="F63" s="66"/>
      <c r="G63" s="66"/>
      <c r="H63" s="75"/>
      <c r="I63" s="75"/>
      <c r="J63" s="66"/>
    </row>
    <row r="64" spans="1:16" x14ac:dyDescent="0.3">
      <c r="A64" s="76">
        <v>12</v>
      </c>
      <c r="B64" s="77" t="s">
        <v>42</v>
      </c>
      <c r="C64" s="272"/>
      <c r="D64" s="273"/>
      <c r="E64" s="274"/>
      <c r="F64" s="78"/>
      <c r="G64" s="79"/>
      <c r="H64" s="79"/>
      <c r="I64" s="79"/>
      <c r="J64" s="79"/>
      <c r="K64" s="79"/>
      <c r="L64" s="79"/>
      <c r="M64" s="79"/>
      <c r="N64" s="79"/>
      <c r="O64" s="42"/>
      <c r="P64" s="42"/>
    </row>
    <row r="65" spans="1:14" x14ac:dyDescent="0.3">
      <c r="A65" s="3"/>
      <c r="B65" s="2"/>
      <c r="C65" s="2"/>
      <c r="D65" s="2"/>
      <c r="E65" s="74"/>
      <c r="F65" s="74"/>
      <c r="G65" s="74"/>
      <c r="H65" s="2"/>
      <c r="I65" s="2"/>
      <c r="J65" s="2"/>
      <c r="K65" s="2"/>
      <c r="L65" s="2"/>
      <c r="M65" s="2"/>
      <c r="N65" s="2"/>
    </row>
    <row r="66" spans="1:14" x14ac:dyDescent="0.3">
      <c r="A66" s="3"/>
      <c r="B66" s="67" t="s">
        <v>841</v>
      </c>
      <c r="C66" s="68" t="s">
        <v>840</v>
      </c>
      <c r="D66" s="66"/>
      <c r="E66" s="66"/>
      <c r="F66" s="75"/>
      <c r="G66" s="75"/>
      <c r="H66" s="66"/>
      <c r="I66" s="66"/>
      <c r="J66" s="66"/>
      <c r="K66" s="66"/>
      <c r="L66" s="66"/>
      <c r="M66" s="66"/>
      <c r="N66" s="66"/>
    </row>
    <row r="67" spans="1:14" x14ac:dyDescent="0.3">
      <c r="A67" s="3"/>
      <c r="B67" s="66"/>
      <c r="C67" s="66"/>
      <c r="D67" s="66"/>
      <c r="E67" s="66"/>
      <c r="F67" s="66"/>
      <c r="G67" s="66"/>
      <c r="H67" s="66"/>
      <c r="I67" s="66"/>
      <c r="J67" s="66"/>
      <c r="K67" s="66"/>
      <c r="L67" s="66"/>
      <c r="M67" s="66"/>
      <c r="N67" s="66"/>
    </row>
    <row r="68" spans="1:14" ht="89.4" customHeight="1" x14ac:dyDescent="0.3">
      <c r="A68" s="3"/>
      <c r="B68" s="295" t="s">
        <v>44</v>
      </c>
      <c r="C68" s="295" t="s">
        <v>842</v>
      </c>
      <c r="D68" s="295" t="s">
        <v>68</v>
      </c>
      <c r="E68" s="297" t="s">
        <v>45</v>
      </c>
      <c r="F68" s="292" t="s">
        <v>899</v>
      </c>
      <c r="G68" s="293"/>
      <c r="H68" s="294"/>
      <c r="I68" s="292" t="s">
        <v>900</v>
      </c>
      <c r="J68" s="293"/>
      <c r="K68" s="294"/>
      <c r="L68" s="292" t="s">
        <v>901</v>
      </c>
      <c r="M68" s="293"/>
      <c r="N68" s="294"/>
    </row>
    <row r="69" spans="1:14" ht="114.6" customHeight="1" x14ac:dyDescent="0.3">
      <c r="A69" s="3"/>
      <c r="B69" s="296"/>
      <c r="C69" s="296"/>
      <c r="D69" s="296"/>
      <c r="E69" s="298"/>
      <c r="F69" s="67" t="s">
        <v>46</v>
      </c>
      <c r="G69" s="67" t="s">
        <v>47</v>
      </c>
      <c r="H69" s="67" t="s">
        <v>48</v>
      </c>
      <c r="I69" s="67" t="s">
        <v>49</v>
      </c>
      <c r="J69" s="67" t="s">
        <v>47</v>
      </c>
      <c r="K69" s="67" t="s">
        <v>48</v>
      </c>
      <c r="L69" s="67" t="s">
        <v>49</v>
      </c>
      <c r="M69" s="67" t="s">
        <v>47</v>
      </c>
      <c r="N69" s="67" t="s">
        <v>48</v>
      </c>
    </row>
    <row r="70" spans="1:14" ht="20.25" customHeight="1" x14ac:dyDescent="0.3">
      <c r="A70" s="3"/>
      <c r="B70" s="67" t="s">
        <v>66</v>
      </c>
      <c r="C70" s="82">
        <v>287.7</v>
      </c>
      <c r="D70" s="82">
        <v>236.75</v>
      </c>
      <c r="E70" s="121">
        <v>242.04</v>
      </c>
      <c r="F70" s="121">
        <v>151.22</v>
      </c>
      <c r="G70" s="121">
        <v>269.3</v>
      </c>
      <c r="H70" s="121">
        <v>150.25</v>
      </c>
      <c r="I70" s="345" t="s">
        <v>109</v>
      </c>
      <c r="J70" s="346"/>
      <c r="K70" s="347"/>
      <c r="L70" s="345" t="s">
        <v>108</v>
      </c>
      <c r="M70" s="346"/>
      <c r="N70" s="347"/>
    </row>
    <row r="71" spans="1:14" ht="40.799999999999997" x14ac:dyDescent="0.3">
      <c r="A71" s="3"/>
      <c r="B71" s="69" t="s">
        <v>67</v>
      </c>
      <c r="C71" s="82">
        <v>24712.05</v>
      </c>
      <c r="D71" s="82">
        <v>25056.9</v>
      </c>
      <c r="E71" s="121">
        <v>25959.5</v>
      </c>
      <c r="F71" s="121">
        <v>22331.4</v>
      </c>
      <c r="G71" s="121">
        <v>26373.200000000001</v>
      </c>
      <c r="H71" s="121">
        <v>21743.65</v>
      </c>
      <c r="I71" s="348"/>
      <c r="J71" s="349"/>
      <c r="K71" s="350"/>
      <c r="L71" s="348"/>
      <c r="M71" s="349"/>
      <c r="N71" s="350"/>
    </row>
    <row r="72" spans="1:14" x14ac:dyDescent="0.3">
      <c r="A72" s="3"/>
      <c r="B72" s="253" t="s">
        <v>99</v>
      </c>
      <c r="C72" s="270"/>
      <c r="D72" s="270"/>
      <c r="E72" s="270"/>
      <c r="F72" s="270"/>
      <c r="G72" s="270"/>
      <c r="H72" s="270"/>
      <c r="I72" s="270"/>
      <c r="J72" s="270"/>
      <c r="K72" s="270"/>
      <c r="L72" s="270"/>
      <c r="M72" s="270"/>
      <c r="N72" s="254"/>
    </row>
    <row r="73" spans="1:14" x14ac:dyDescent="0.3">
      <c r="A73" s="3"/>
      <c r="B73" s="253" t="s">
        <v>84</v>
      </c>
      <c r="C73" s="270"/>
      <c r="D73" s="270"/>
      <c r="E73" s="270"/>
      <c r="F73" s="254"/>
      <c r="G73" s="83"/>
      <c r="H73" s="83"/>
      <c r="I73" s="83"/>
      <c r="J73" s="83"/>
      <c r="K73" s="83"/>
      <c r="L73" s="83"/>
      <c r="M73" s="83"/>
      <c r="N73" s="83"/>
    </row>
    <row r="74" spans="1:14" x14ac:dyDescent="0.3">
      <c r="A74" s="3"/>
      <c r="B74" s="253" t="s">
        <v>70</v>
      </c>
      <c r="C74" s="270"/>
      <c r="D74" s="270"/>
      <c r="E74" s="270"/>
      <c r="F74" s="254"/>
      <c r="G74" s="83"/>
      <c r="H74" s="83"/>
      <c r="I74" s="83"/>
      <c r="J74" s="83"/>
      <c r="K74" s="83"/>
      <c r="L74" s="83"/>
      <c r="M74" s="83"/>
      <c r="N74" s="83"/>
    </row>
    <row r="75" spans="1:14" x14ac:dyDescent="0.3">
      <c r="A75" s="3"/>
      <c r="B75" s="253" t="s">
        <v>71</v>
      </c>
      <c r="C75" s="270"/>
      <c r="D75" s="270"/>
      <c r="E75" s="270"/>
      <c r="F75" s="254"/>
      <c r="G75" s="83"/>
      <c r="H75" s="83"/>
      <c r="I75" s="83"/>
      <c r="J75" s="83"/>
      <c r="K75" s="83"/>
      <c r="L75" s="83"/>
      <c r="M75" s="83"/>
      <c r="N75" s="83"/>
    </row>
    <row r="76" spans="1:14" x14ac:dyDescent="0.3">
      <c r="A76" s="3"/>
      <c r="B76" s="270"/>
      <c r="C76" s="270"/>
      <c r="D76" s="84"/>
      <c r="E76" s="84"/>
      <c r="F76" s="84"/>
      <c r="G76" s="10"/>
      <c r="H76" s="10"/>
      <c r="I76" s="10"/>
      <c r="J76" s="10"/>
      <c r="K76" s="10"/>
      <c r="L76" s="10"/>
      <c r="M76" s="10"/>
      <c r="N76" s="10"/>
    </row>
    <row r="77" spans="1:14" x14ac:dyDescent="0.3">
      <c r="A77" s="3">
        <v>13</v>
      </c>
      <c r="B77" s="261" t="s">
        <v>51</v>
      </c>
      <c r="C77" s="262"/>
      <c r="D77" s="262"/>
      <c r="E77" s="262"/>
      <c r="F77" s="262"/>
      <c r="G77" s="263"/>
      <c r="H77" s="2"/>
      <c r="I77" s="2"/>
      <c r="J77" s="2"/>
      <c r="K77" s="2"/>
      <c r="L77" s="2"/>
      <c r="M77" s="2"/>
      <c r="N77" s="2"/>
    </row>
    <row r="78" spans="1:14" x14ac:dyDescent="0.3">
      <c r="A78" s="3"/>
      <c r="C78" s="66"/>
      <c r="D78" s="66"/>
      <c r="E78" s="66"/>
      <c r="F78" s="66"/>
      <c r="G78" s="66"/>
      <c r="H78" s="66"/>
      <c r="I78" s="66"/>
      <c r="J78" s="66"/>
      <c r="K78" s="66"/>
      <c r="L78" s="66"/>
      <c r="M78" s="66"/>
      <c r="N78" s="66"/>
    </row>
    <row r="79" spans="1:14" ht="61.2" x14ac:dyDescent="0.3">
      <c r="A79" s="3"/>
      <c r="B79" s="25" t="s">
        <v>52</v>
      </c>
      <c r="C79" s="25" t="s">
        <v>53</v>
      </c>
      <c r="D79" s="25" t="s">
        <v>603</v>
      </c>
      <c r="E79" s="25" t="s">
        <v>54</v>
      </c>
      <c r="F79" s="25" t="s">
        <v>55</v>
      </c>
      <c r="G79" s="25" t="s">
        <v>56</v>
      </c>
      <c r="H79" s="10"/>
      <c r="I79" s="10"/>
      <c r="J79" s="10"/>
      <c r="K79" s="10"/>
      <c r="L79" s="10"/>
      <c r="M79" s="10"/>
      <c r="N79" s="10"/>
    </row>
    <row r="80" spans="1:14" ht="20.25" customHeight="1" x14ac:dyDescent="0.3">
      <c r="A80" s="3"/>
      <c r="B80" s="297" t="s">
        <v>72</v>
      </c>
      <c r="C80" s="54" t="s">
        <v>843</v>
      </c>
      <c r="D80" s="134">
        <v>10.3</v>
      </c>
      <c r="E80" s="88">
        <v>13.03</v>
      </c>
      <c r="F80" s="311" t="s">
        <v>83</v>
      </c>
      <c r="G80" s="311" t="s">
        <v>83</v>
      </c>
    </row>
    <row r="81" spans="1:17" x14ac:dyDescent="0.3">
      <c r="A81" s="3"/>
      <c r="B81" s="309"/>
      <c r="C81" s="54" t="s">
        <v>623</v>
      </c>
      <c r="D81" s="135"/>
      <c r="E81" s="88"/>
      <c r="F81" s="311"/>
      <c r="G81" s="311"/>
    </row>
    <row r="82" spans="1:17" x14ac:dyDescent="0.3">
      <c r="A82" s="3"/>
      <c r="B82" s="309"/>
      <c r="C82" s="5" t="s">
        <v>844</v>
      </c>
      <c r="D82" s="135">
        <v>1.4</v>
      </c>
      <c r="E82" s="90">
        <v>1.8</v>
      </c>
      <c r="F82" s="311"/>
      <c r="G82" s="311"/>
    </row>
    <row r="83" spans="1:17" x14ac:dyDescent="0.3">
      <c r="A83" s="3"/>
      <c r="B83" s="309"/>
      <c r="C83" s="5" t="s">
        <v>845</v>
      </c>
      <c r="D83" s="135">
        <v>41.61</v>
      </c>
      <c r="E83" s="88">
        <v>45.65</v>
      </c>
      <c r="F83" s="311"/>
      <c r="G83" s="311"/>
    </row>
    <row r="84" spans="1:17" x14ac:dyDescent="0.3">
      <c r="A84" s="3"/>
      <c r="B84" s="309"/>
      <c r="C84" s="5" t="s">
        <v>846</v>
      </c>
      <c r="D84" s="135">
        <v>-27.33</v>
      </c>
      <c r="E84" s="88">
        <v>-27.66</v>
      </c>
      <c r="F84" s="311"/>
      <c r="G84" s="311"/>
    </row>
    <row r="85" spans="1:17" ht="42" x14ac:dyDescent="0.3">
      <c r="A85" s="3"/>
      <c r="B85" s="309"/>
      <c r="C85" s="5" t="s">
        <v>847</v>
      </c>
      <c r="D85" s="135">
        <v>1.46</v>
      </c>
      <c r="E85" s="152" t="s">
        <v>943</v>
      </c>
      <c r="F85" s="311"/>
      <c r="G85" s="311"/>
    </row>
    <row r="86" spans="1:17" x14ac:dyDescent="0.3">
      <c r="A86" s="3"/>
      <c r="B86" s="309"/>
      <c r="C86" s="5" t="s">
        <v>848</v>
      </c>
      <c r="D86" s="135">
        <v>-2.62</v>
      </c>
      <c r="E86" s="88">
        <v>-1.46</v>
      </c>
      <c r="F86" s="311"/>
      <c r="G86" s="311"/>
    </row>
    <row r="87" spans="1:17" x14ac:dyDescent="0.3">
      <c r="A87" s="3"/>
      <c r="B87" s="309"/>
      <c r="C87" s="5" t="s">
        <v>849</v>
      </c>
      <c r="D87" s="135">
        <v>8.1199999999999992</v>
      </c>
      <c r="E87" s="88">
        <v>10.050000000000001</v>
      </c>
      <c r="F87" s="311"/>
      <c r="G87" s="311"/>
    </row>
    <row r="88" spans="1:17" x14ac:dyDescent="0.3">
      <c r="A88" s="3"/>
      <c r="B88" s="309"/>
      <c r="C88" s="5" t="s">
        <v>850</v>
      </c>
      <c r="D88" s="135">
        <v>1.27</v>
      </c>
      <c r="E88" s="88">
        <v>8.9499999999999993</v>
      </c>
      <c r="F88" s="311"/>
      <c r="G88" s="311"/>
    </row>
    <row r="89" spans="1:17" x14ac:dyDescent="0.3">
      <c r="A89" s="3"/>
      <c r="B89" s="309"/>
      <c r="C89" s="5" t="s">
        <v>851</v>
      </c>
      <c r="D89" s="135">
        <v>14.76</v>
      </c>
      <c r="E89" s="88">
        <v>12.67</v>
      </c>
      <c r="F89" s="311"/>
      <c r="G89" s="311"/>
    </row>
    <row r="90" spans="1:17" x14ac:dyDescent="0.3">
      <c r="A90" s="3"/>
      <c r="B90" s="309"/>
      <c r="C90" s="5" t="s">
        <v>852</v>
      </c>
      <c r="D90" s="135">
        <v>10.93</v>
      </c>
      <c r="E90" s="88">
        <v>12.78</v>
      </c>
      <c r="F90" s="311"/>
      <c r="G90" s="311"/>
    </row>
    <row r="91" spans="1:17" x14ac:dyDescent="0.3">
      <c r="A91" s="3"/>
      <c r="B91" s="298"/>
      <c r="C91" s="54" t="s">
        <v>295</v>
      </c>
      <c r="D91" s="140">
        <f>AVERAGE(D82:D90)/9</f>
        <v>0.61234567901234571</v>
      </c>
      <c r="E91" s="140">
        <f>AVERAGE(E82:E90)/9</f>
        <v>0.87194444444444441</v>
      </c>
      <c r="F91" s="311"/>
      <c r="G91" s="311"/>
    </row>
    <row r="92" spans="1:17" x14ac:dyDescent="0.3">
      <c r="A92" s="3"/>
      <c r="B92" s="297" t="s">
        <v>59</v>
      </c>
      <c r="C92" s="54" t="s">
        <v>843</v>
      </c>
      <c r="D92" s="135">
        <v>24.76</v>
      </c>
      <c r="E92" s="90">
        <f>F70/E80</f>
        <v>11.605525709900231</v>
      </c>
      <c r="F92" s="311"/>
      <c r="G92" s="311"/>
      <c r="O92" s="121">
        <v>143.07</v>
      </c>
      <c r="Q92" s="1"/>
    </row>
    <row r="93" spans="1:17" x14ac:dyDescent="0.3">
      <c r="A93" s="3"/>
      <c r="B93" s="309"/>
      <c r="C93" s="54" t="s">
        <v>623</v>
      </c>
      <c r="D93" s="135"/>
      <c r="E93" s="88"/>
      <c r="F93" s="311"/>
      <c r="G93" s="311"/>
      <c r="Q93" s="1"/>
    </row>
    <row r="94" spans="1:17" x14ac:dyDescent="0.3">
      <c r="A94" s="3"/>
      <c r="B94" s="309"/>
      <c r="C94" s="5" t="s">
        <v>844</v>
      </c>
      <c r="D94" s="135">
        <v>107.26</v>
      </c>
      <c r="E94" s="90">
        <f>105.3/E82</f>
        <v>58.5</v>
      </c>
      <c r="F94" s="311"/>
      <c r="G94" s="311"/>
      <c r="Q94" s="1"/>
    </row>
    <row r="95" spans="1:17" x14ac:dyDescent="0.3">
      <c r="A95" s="3"/>
      <c r="B95" s="309"/>
      <c r="C95" s="5" t="s">
        <v>845</v>
      </c>
      <c r="D95" s="135">
        <v>113.86</v>
      </c>
      <c r="E95" s="90">
        <f>3956.8/E83</f>
        <v>86.676889375684567</v>
      </c>
      <c r="F95" s="311"/>
      <c r="G95" s="311"/>
      <c r="Q95" s="1"/>
    </row>
    <row r="96" spans="1:17" x14ac:dyDescent="0.3">
      <c r="A96" s="3"/>
      <c r="B96" s="309"/>
      <c r="C96" s="5" t="s">
        <v>846</v>
      </c>
      <c r="D96" s="135" t="s">
        <v>121</v>
      </c>
      <c r="E96" s="88">
        <f>24.6</f>
        <v>24.6</v>
      </c>
      <c r="F96" s="311"/>
      <c r="G96" s="311"/>
      <c r="Q96" s="1"/>
    </row>
    <row r="97" spans="1:17" ht="42" x14ac:dyDescent="0.3">
      <c r="A97" s="3"/>
      <c r="B97" s="309"/>
      <c r="C97" s="5" t="s">
        <v>847</v>
      </c>
      <c r="D97" s="135">
        <v>8.9600000000000009</v>
      </c>
      <c r="E97" s="152" t="s">
        <v>943</v>
      </c>
      <c r="F97" s="311"/>
      <c r="G97" s="311"/>
      <c r="Q97" s="1"/>
    </row>
    <row r="98" spans="1:17" x14ac:dyDescent="0.3">
      <c r="A98" s="3"/>
      <c r="B98" s="309"/>
      <c r="C98" s="5" t="s">
        <v>848</v>
      </c>
      <c r="D98" s="135" t="s">
        <v>121</v>
      </c>
      <c r="E98" s="90">
        <f>32.05/E86</f>
        <v>-21.952054794520546</v>
      </c>
      <c r="F98" s="311"/>
      <c r="G98" s="311"/>
      <c r="O98" s="1">
        <v>156.47999999999999</v>
      </c>
      <c r="Q98" s="1"/>
    </row>
    <row r="99" spans="1:17" x14ac:dyDescent="0.3">
      <c r="A99" s="3"/>
      <c r="B99" s="309"/>
      <c r="C99" s="5" t="s">
        <v>849</v>
      </c>
      <c r="D99" s="135">
        <v>16.27</v>
      </c>
      <c r="E99" s="90">
        <f>222.35/E87</f>
        <v>22.124378109452735</v>
      </c>
      <c r="F99" s="311"/>
      <c r="G99" s="311"/>
      <c r="O99" s="1">
        <v>819.2</v>
      </c>
      <c r="Q99" s="1"/>
    </row>
    <row r="100" spans="1:17" x14ac:dyDescent="0.3">
      <c r="A100" s="3"/>
      <c r="B100" s="309"/>
      <c r="C100" s="5" t="s">
        <v>850</v>
      </c>
      <c r="D100" s="135">
        <v>107.4</v>
      </c>
      <c r="E100" s="90">
        <f>89.4/E88</f>
        <v>9.9888268156424598</v>
      </c>
      <c r="F100" s="311"/>
      <c r="G100" s="311"/>
      <c r="Q100" s="1"/>
    </row>
    <row r="101" spans="1:17" x14ac:dyDescent="0.3">
      <c r="A101" s="3"/>
      <c r="B101" s="309"/>
      <c r="C101" s="5" t="s">
        <v>851</v>
      </c>
      <c r="D101" s="135">
        <v>16.399999999999999</v>
      </c>
      <c r="E101" s="90">
        <f>171.99/E89</f>
        <v>13.574585635359117</v>
      </c>
      <c r="F101" s="311"/>
      <c r="G101" s="311"/>
      <c r="O101" s="1">
        <v>633.1</v>
      </c>
      <c r="Q101" s="1"/>
    </row>
    <row r="102" spans="1:17" x14ac:dyDescent="0.3">
      <c r="A102" s="3"/>
      <c r="B102" s="309"/>
      <c r="C102" s="5" t="s">
        <v>852</v>
      </c>
      <c r="D102" s="135">
        <v>12.72</v>
      </c>
      <c r="E102" s="90">
        <f>137/E90</f>
        <v>10.719874804381847</v>
      </c>
      <c r="F102" s="311"/>
      <c r="G102" s="311"/>
      <c r="O102" s="1">
        <v>557.29999999999995</v>
      </c>
      <c r="Q102" s="1"/>
    </row>
    <row r="103" spans="1:17" ht="40.5" customHeight="1" x14ac:dyDescent="0.3">
      <c r="A103" s="3"/>
      <c r="B103" s="298"/>
      <c r="C103" s="54" t="s">
        <v>295</v>
      </c>
      <c r="D103" s="140">
        <f>AVERAGE(D98:D102)/7</f>
        <v>5.4567857142857141</v>
      </c>
      <c r="E103" s="140">
        <f>AVERAGE(E94:E102)/7</f>
        <v>3.6470089276071462</v>
      </c>
      <c r="F103" s="311"/>
      <c r="G103" s="311"/>
      <c r="O103" s="1" t="s">
        <v>652</v>
      </c>
      <c r="P103" s="1" t="s">
        <v>645</v>
      </c>
      <c r="Q103" s="1"/>
    </row>
    <row r="104" spans="1:17" x14ac:dyDescent="0.3">
      <c r="A104" s="3"/>
      <c r="B104" s="297" t="s">
        <v>60</v>
      </c>
      <c r="C104" s="54" t="s">
        <v>843</v>
      </c>
      <c r="D104" s="142">
        <v>0.19020000000000001</v>
      </c>
      <c r="E104" s="110">
        <v>0.10730000000000001</v>
      </c>
      <c r="F104" s="311"/>
      <c r="G104" s="311"/>
      <c r="O104" s="1">
        <v>5674.98</v>
      </c>
      <c r="P104" s="1">
        <v>41285.31</v>
      </c>
      <c r="Q104" s="1">
        <v>4128531000</v>
      </c>
    </row>
    <row r="105" spans="1:17" x14ac:dyDescent="0.3">
      <c r="A105" s="3"/>
      <c r="B105" s="309"/>
      <c r="C105" s="54" t="s">
        <v>623</v>
      </c>
      <c r="D105" s="126"/>
      <c r="E105" s="88"/>
      <c r="F105" s="311"/>
      <c r="G105" s="311"/>
      <c r="Q105" s="1"/>
    </row>
    <row r="106" spans="1:17" x14ac:dyDescent="0.3">
      <c r="A106" s="3"/>
      <c r="B106" s="309"/>
      <c r="C106" s="5" t="s">
        <v>844</v>
      </c>
      <c r="D106" s="126">
        <v>9.8699999999999996E-2</v>
      </c>
      <c r="E106" s="110">
        <v>0.113</v>
      </c>
      <c r="F106" s="311"/>
      <c r="G106" s="311"/>
      <c r="Q106" s="1"/>
    </row>
    <row r="107" spans="1:17" x14ac:dyDescent="0.3">
      <c r="A107" s="3"/>
      <c r="B107" s="309"/>
      <c r="C107" s="5" t="s">
        <v>845</v>
      </c>
      <c r="D107" s="126">
        <v>0.12640000000000001</v>
      </c>
      <c r="E107" s="110">
        <v>0.12139999999999999</v>
      </c>
      <c r="F107" s="311"/>
      <c r="G107" s="311"/>
      <c r="Q107" s="1"/>
    </row>
    <row r="108" spans="1:17" x14ac:dyDescent="0.3">
      <c r="A108" s="3"/>
      <c r="B108" s="309"/>
      <c r="C108" s="5" t="s">
        <v>846</v>
      </c>
      <c r="D108" s="126">
        <v>-0.37240000000000001</v>
      </c>
      <c r="E108" s="110">
        <v>0.27310000000000001</v>
      </c>
      <c r="F108" s="311"/>
      <c r="G108" s="311"/>
      <c r="Q108" s="1"/>
    </row>
    <row r="109" spans="1:17" ht="42" x14ac:dyDescent="0.3">
      <c r="A109" s="3"/>
      <c r="B109" s="309"/>
      <c r="C109" s="5" t="s">
        <v>847</v>
      </c>
      <c r="D109" s="126">
        <v>4.9700000000000001E-2</v>
      </c>
      <c r="E109" s="152" t="s">
        <v>943</v>
      </c>
      <c r="F109" s="311"/>
      <c r="G109" s="311"/>
      <c r="Q109" s="1"/>
    </row>
    <row r="110" spans="1:17" x14ac:dyDescent="0.3">
      <c r="A110" s="3"/>
      <c r="B110" s="309"/>
      <c r="C110" s="5" t="s">
        <v>848</v>
      </c>
      <c r="D110" s="126">
        <v>-0.18509999999999999</v>
      </c>
      <c r="E110" s="88">
        <v>-52.25</v>
      </c>
      <c r="F110" s="311"/>
      <c r="G110" s="311"/>
      <c r="Q110" s="1"/>
    </row>
    <row r="111" spans="1:17" x14ac:dyDescent="0.3">
      <c r="A111" s="3"/>
      <c r="B111" s="309"/>
      <c r="C111" s="5" t="s">
        <v>849</v>
      </c>
      <c r="D111" s="126">
        <v>0.21440000000000001</v>
      </c>
      <c r="E111" s="88">
        <v>21.01</v>
      </c>
      <c r="F111" s="311"/>
      <c r="G111" s="311"/>
      <c r="O111" s="1">
        <v>73759</v>
      </c>
      <c r="P111" s="1">
        <v>623743</v>
      </c>
      <c r="Q111" s="1">
        <v>62374300000</v>
      </c>
    </row>
    <row r="112" spans="1:17" x14ac:dyDescent="0.3">
      <c r="A112" s="3"/>
      <c r="B112" s="309"/>
      <c r="C112" s="5" t="s">
        <v>850</v>
      </c>
      <c r="D112" s="126">
        <v>1.72E-2</v>
      </c>
      <c r="E112" s="110">
        <v>0.1086</v>
      </c>
      <c r="F112" s="311"/>
      <c r="G112" s="311"/>
      <c r="O112" s="1">
        <v>20151.080000000002</v>
      </c>
      <c r="P112" s="1">
        <v>179844.74</v>
      </c>
      <c r="Q112" s="1">
        <v>17984474000</v>
      </c>
    </row>
    <row r="113" spans="1:17" x14ac:dyDescent="0.3">
      <c r="A113" s="3"/>
      <c r="B113" s="309"/>
      <c r="C113" s="5" t="s">
        <v>851</v>
      </c>
      <c r="D113" s="126">
        <v>0.105</v>
      </c>
      <c r="E113" s="110">
        <v>8.2299999999999998E-2</v>
      </c>
      <c r="F113" s="311"/>
      <c r="G113" s="311"/>
      <c r="O113" s="58">
        <v>5645.62</v>
      </c>
      <c r="P113" s="1">
        <v>120873.73</v>
      </c>
      <c r="Q113" s="1">
        <v>12087373000</v>
      </c>
    </row>
    <row r="114" spans="1:17" x14ac:dyDescent="0.3">
      <c r="A114" s="3"/>
      <c r="B114" s="309"/>
      <c r="C114" s="5" t="s">
        <v>852</v>
      </c>
      <c r="D114" s="126">
        <v>0.16039999999999999</v>
      </c>
      <c r="E114" s="110">
        <v>0.15079999999999999</v>
      </c>
      <c r="F114" s="311"/>
      <c r="G114" s="311"/>
      <c r="O114" s="1">
        <v>37280.870000000003</v>
      </c>
      <c r="P114" s="1">
        <v>183342.83</v>
      </c>
      <c r="Q114" s="1">
        <v>18334283000</v>
      </c>
    </row>
    <row r="115" spans="1:17" x14ac:dyDescent="0.3">
      <c r="A115" s="3"/>
      <c r="B115" s="298"/>
      <c r="C115" s="54" t="s">
        <v>295</v>
      </c>
      <c r="D115" s="143">
        <f>AVERAGE(D105:D114)/9</f>
        <v>2.6456790123456798E-3</v>
      </c>
      <c r="E115" s="143">
        <f>AVERAGE(E105:E114)/9</f>
        <v>-0.42209444444444444</v>
      </c>
      <c r="F115" s="311"/>
      <c r="G115" s="311"/>
      <c r="Q115" s="1"/>
    </row>
    <row r="116" spans="1:17" x14ac:dyDescent="0.3">
      <c r="A116" s="3"/>
      <c r="B116" s="310" t="s">
        <v>61</v>
      </c>
      <c r="C116" s="54" t="s">
        <v>843</v>
      </c>
      <c r="D116" s="135">
        <v>54.08</v>
      </c>
      <c r="E116" s="88">
        <v>108.95</v>
      </c>
      <c r="F116" s="311"/>
      <c r="G116" s="311"/>
      <c r="P116" s="1">
        <v>46580860</v>
      </c>
      <c r="Q116" s="1"/>
    </row>
    <row r="117" spans="1:17" x14ac:dyDescent="0.3">
      <c r="A117" s="3"/>
      <c r="B117" s="310"/>
      <c r="C117" s="54" t="s">
        <v>623</v>
      </c>
      <c r="D117" s="135"/>
      <c r="E117" s="88"/>
      <c r="F117" s="311"/>
      <c r="G117" s="311"/>
      <c r="Q117" s="1"/>
    </row>
    <row r="118" spans="1:17" x14ac:dyDescent="0.3">
      <c r="A118" s="3"/>
      <c r="B118" s="310"/>
      <c r="C118" s="5" t="s">
        <v>844</v>
      </c>
      <c r="D118" s="135">
        <v>13.92</v>
      </c>
      <c r="E118" s="88">
        <v>1.59</v>
      </c>
      <c r="F118" s="311"/>
      <c r="G118" s="311"/>
      <c r="Q118" s="1"/>
    </row>
    <row r="119" spans="1:17" x14ac:dyDescent="0.3">
      <c r="A119" s="3"/>
      <c r="B119" s="310"/>
      <c r="C119" s="5" t="s">
        <v>845</v>
      </c>
      <c r="D119" s="135">
        <v>329.27</v>
      </c>
      <c r="E119" s="88">
        <v>3.75</v>
      </c>
      <c r="F119" s="311"/>
      <c r="G119" s="311"/>
      <c r="Q119" s="1"/>
    </row>
    <row r="120" spans="1:17" x14ac:dyDescent="0.3">
      <c r="A120" s="3"/>
      <c r="B120" s="310"/>
      <c r="C120" s="5" t="s">
        <v>846</v>
      </c>
      <c r="D120" s="135">
        <v>-73.400000000000006</v>
      </c>
      <c r="E120" s="88">
        <v>-101.29</v>
      </c>
      <c r="F120" s="311"/>
      <c r="G120" s="311"/>
      <c r="Q120" s="1"/>
    </row>
    <row r="121" spans="1:17" ht="42" x14ac:dyDescent="0.3">
      <c r="A121" s="3"/>
      <c r="B121" s="310"/>
      <c r="C121" s="5" t="s">
        <v>847</v>
      </c>
      <c r="D121" s="135">
        <v>23.85</v>
      </c>
      <c r="E121" s="152" t="s">
        <v>943</v>
      </c>
      <c r="F121" s="311"/>
      <c r="G121" s="311"/>
      <c r="Q121" s="1"/>
    </row>
    <row r="122" spans="1:17" x14ac:dyDescent="0.3">
      <c r="A122" s="3"/>
      <c r="B122" s="310"/>
      <c r="C122" s="5" t="s">
        <v>848</v>
      </c>
      <c r="D122" s="135">
        <v>14.14</v>
      </c>
      <c r="E122" s="88">
        <v>2.79</v>
      </c>
      <c r="F122" s="311"/>
      <c r="G122" s="311"/>
      <c r="Q122" s="1"/>
    </row>
    <row r="123" spans="1:17" ht="25.2" customHeight="1" x14ac:dyDescent="0.3">
      <c r="A123" s="3"/>
      <c r="B123" s="310"/>
      <c r="C123" s="5" t="s">
        <v>849</v>
      </c>
      <c r="D123" s="135">
        <v>38.270000000000003</v>
      </c>
      <c r="E123" s="88">
        <v>47.81</v>
      </c>
      <c r="F123" s="311"/>
      <c r="G123" s="311"/>
      <c r="O123" s="1" t="s">
        <v>696</v>
      </c>
      <c r="P123" s="1">
        <v>940515740</v>
      </c>
      <c r="Q123" s="1"/>
    </row>
    <row r="124" spans="1:17" ht="24" customHeight="1" x14ac:dyDescent="0.3">
      <c r="A124" s="3"/>
      <c r="B124" s="310"/>
      <c r="C124" s="5" t="s">
        <v>850</v>
      </c>
      <c r="D124" s="135">
        <v>73.92</v>
      </c>
      <c r="E124" s="88">
        <v>82.47</v>
      </c>
      <c r="F124" s="311"/>
      <c r="G124" s="311"/>
      <c r="O124" s="1" t="s">
        <v>698</v>
      </c>
      <c r="P124" s="1">
        <v>66987560</v>
      </c>
      <c r="Q124" s="1"/>
    </row>
    <row r="125" spans="1:17" ht="27.6" customHeight="1" x14ac:dyDescent="0.3">
      <c r="A125" s="3"/>
      <c r="B125" s="310"/>
      <c r="C125" s="5" t="s">
        <v>851</v>
      </c>
      <c r="D125" s="135">
        <v>140.6</v>
      </c>
      <c r="E125" s="88">
        <v>153.91</v>
      </c>
      <c r="F125" s="311"/>
      <c r="G125" s="311"/>
      <c r="O125" s="1" t="s">
        <v>700</v>
      </c>
      <c r="P125" s="1">
        <v>39641791</v>
      </c>
      <c r="Q125" s="1"/>
    </row>
    <row r="126" spans="1:17" ht="26.4" customHeight="1" x14ac:dyDescent="0.3">
      <c r="A126" s="3"/>
      <c r="B126" s="310"/>
      <c r="C126" s="5" t="s">
        <v>852</v>
      </c>
      <c r="D126" s="134">
        <v>64.73</v>
      </c>
      <c r="E126" s="88">
        <v>80.489999999999995</v>
      </c>
      <c r="F126" s="311"/>
      <c r="G126" s="311"/>
      <c r="O126" s="1">
        <v>171787584</v>
      </c>
      <c r="P126" s="1" t="s">
        <v>702</v>
      </c>
      <c r="Q126" s="1"/>
    </row>
    <row r="127" spans="1:17" x14ac:dyDescent="0.3">
      <c r="A127" s="3"/>
      <c r="B127" s="310"/>
      <c r="C127" s="54" t="s">
        <v>295</v>
      </c>
      <c r="D127" s="218">
        <f>AVERAGE(D118:D126)/9</f>
        <v>7.719753086419753</v>
      </c>
      <c r="E127" s="218">
        <f>AVERAGE(E118:E126)/9</f>
        <v>3.7711111111111109</v>
      </c>
      <c r="F127" s="311"/>
      <c r="G127" s="311"/>
    </row>
    <row r="128" spans="1:17" x14ac:dyDescent="0.3">
      <c r="A128" s="3"/>
      <c r="B128" s="301" t="s">
        <v>944</v>
      </c>
      <c r="C128" s="302"/>
      <c r="D128" s="302"/>
      <c r="E128" s="302"/>
      <c r="F128" s="302"/>
      <c r="G128" s="303"/>
    </row>
    <row r="129" spans="1:16" x14ac:dyDescent="0.3">
      <c r="A129" s="2"/>
      <c r="B129" s="253" t="s">
        <v>82</v>
      </c>
      <c r="C129" s="270"/>
      <c r="D129" s="270"/>
      <c r="E129" s="270"/>
      <c r="F129" s="270"/>
      <c r="G129" s="254"/>
      <c r="H129" s="2"/>
      <c r="I129" s="2"/>
      <c r="J129" s="2"/>
      <c r="K129" s="2"/>
      <c r="L129" s="2"/>
      <c r="M129" s="2"/>
      <c r="N129" s="2"/>
      <c r="O129" s="2"/>
      <c r="P129" s="2"/>
    </row>
    <row r="130" spans="1:16" x14ac:dyDescent="0.3">
      <c r="A130" s="3"/>
      <c r="B130" s="247" t="s">
        <v>853</v>
      </c>
      <c r="C130" s="248"/>
      <c r="D130" s="248"/>
      <c r="E130" s="248"/>
      <c r="F130" s="248"/>
      <c r="G130" s="362"/>
    </row>
    <row r="131" spans="1:16" x14ac:dyDescent="0.3">
      <c r="A131" s="3"/>
      <c r="B131" s="248"/>
      <c r="C131" s="248"/>
      <c r="D131" s="248"/>
      <c r="E131" s="55"/>
      <c r="F131" s="55"/>
      <c r="G131" s="55"/>
    </row>
    <row r="132" spans="1:16" x14ac:dyDescent="0.3">
      <c r="C132" s="306"/>
      <c r="D132" s="306"/>
      <c r="E132" s="306"/>
      <c r="F132" s="306"/>
      <c r="G132" s="306"/>
    </row>
    <row r="133" spans="1:16" x14ac:dyDescent="0.3">
      <c r="A133" s="3">
        <v>14</v>
      </c>
      <c r="B133" s="54" t="s">
        <v>63</v>
      </c>
      <c r="C133" s="307" t="s">
        <v>50</v>
      </c>
      <c r="D133" s="308"/>
      <c r="E133" s="308"/>
      <c r="F133" s="308"/>
      <c r="G133" s="249"/>
    </row>
    <row r="134" spans="1:16" x14ac:dyDescent="0.3">
      <c r="C134" s="55"/>
      <c r="D134" s="55"/>
      <c r="E134" s="55"/>
      <c r="F134" s="55"/>
      <c r="G134" s="55"/>
    </row>
    <row r="135" spans="1:16" x14ac:dyDescent="0.3">
      <c r="B135" s="299" t="s">
        <v>854</v>
      </c>
      <c r="C135" s="299"/>
      <c r="D135" s="299"/>
      <c r="E135" s="299"/>
      <c r="F135" s="299"/>
      <c r="G135" s="299"/>
      <c r="H135" s="299"/>
    </row>
    <row r="140" spans="1:16" x14ac:dyDescent="0.3">
      <c r="D140" s="56"/>
      <c r="E140" s="56"/>
    </row>
    <row r="141" spans="1:16" x14ac:dyDescent="0.3">
      <c r="E141" s="56"/>
    </row>
  </sheetData>
  <mergeCells count="69">
    <mergeCell ref="C133:G133"/>
    <mergeCell ref="B135:H135"/>
    <mergeCell ref="B116:B127"/>
    <mergeCell ref="B128:G128"/>
    <mergeCell ref="B129:G129"/>
    <mergeCell ref="B130:G130"/>
    <mergeCell ref="B131:D131"/>
    <mergeCell ref="C132:G132"/>
    <mergeCell ref="B80:B91"/>
    <mergeCell ref="F80:F127"/>
    <mergeCell ref="G80:G127"/>
    <mergeCell ref="B92:B103"/>
    <mergeCell ref="B104:B115"/>
    <mergeCell ref="B73:F73"/>
    <mergeCell ref="B74:F74"/>
    <mergeCell ref="B75:F75"/>
    <mergeCell ref="B76:C76"/>
    <mergeCell ref="B77:G77"/>
    <mergeCell ref="B72:N72"/>
    <mergeCell ref="B59:E59"/>
    <mergeCell ref="B60:E60"/>
    <mergeCell ref="C62:E62"/>
    <mergeCell ref="C63:E63"/>
    <mergeCell ref="C64:E64"/>
    <mergeCell ref="B68:B69"/>
    <mergeCell ref="C68:C69"/>
    <mergeCell ref="D68:D69"/>
    <mergeCell ref="E68:E69"/>
    <mergeCell ref="F68:H68"/>
    <mergeCell ref="I68:K68"/>
    <mergeCell ref="L68:N68"/>
    <mergeCell ref="I70:K71"/>
    <mergeCell ref="L70:N71"/>
    <mergeCell ref="C58:E58"/>
    <mergeCell ref="B42:E42"/>
    <mergeCell ref="C43:E43"/>
    <mergeCell ref="C44:E44"/>
    <mergeCell ref="C45:E45"/>
    <mergeCell ref="B46:E46"/>
    <mergeCell ref="B48:E48"/>
    <mergeCell ref="B51:E51"/>
    <mergeCell ref="B54:E54"/>
    <mergeCell ref="B55:B56"/>
    <mergeCell ref="C55:E56"/>
    <mergeCell ref="C57:E57"/>
    <mergeCell ref="B40:D40"/>
    <mergeCell ref="C21:E21"/>
    <mergeCell ref="C22:E22"/>
    <mergeCell ref="C23:E23"/>
    <mergeCell ref="C24:E24"/>
    <mergeCell ref="B26:E26"/>
    <mergeCell ref="B27:E27"/>
    <mergeCell ref="D29:D32"/>
    <mergeCell ref="E29:E32"/>
    <mergeCell ref="B33:E33"/>
    <mergeCell ref="B35:E35"/>
    <mergeCell ref="B36:E36"/>
    <mergeCell ref="C20:E20"/>
    <mergeCell ref="A1:B1"/>
    <mergeCell ref="C3:E3"/>
    <mergeCell ref="C5:E5"/>
    <mergeCell ref="B6:D6"/>
    <mergeCell ref="B9:D9"/>
    <mergeCell ref="C11:E11"/>
    <mergeCell ref="B12:D12"/>
    <mergeCell ref="C14:E14"/>
    <mergeCell ref="B15:D15"/>
    <mergeCell ref="B17:C17"/>
    <mergeCell ref="B19:E19"/>
  </mergeCells>
  <pageMargins left="0.7" right="0.7" top="0.75" bottom="0.75" header="0.3" footer="0.3"/>
  <pageSetup scale="1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0F723-2B07-40B1-8941-D0FA2919D2D2}">
  <dimension ref="A1:R111"/>
  <sheetViews>
    <sheetView tabSelected="1" view="pageBreakPreview" topLeftCell="A67" zoomScale="52" zoomScaleNormal="60" workbookViewId="0">
      <selection activeCell="I82" sqref="I82"/>
    </sheetView>
  </sheetViews>
  <sheetFormatPr defaultRowHeight="21" x14ac:dyDescent="0.3"/>
  <cols>
    <col min="1" max="1" width="9" style="1" bestFit="1" customWidth="1"/>
    <col min="2" max="2" width="58.33203125" style="1" customWidth="1"/>
    <col min="3" max="3" width="72.109375" style="1" customWidth="1"/>
    <col min="4" max="4" width="65.5546875" style="1" customWidth="1"/>
    <col min="5" max="5" width="27.6640625" style="1" customWidth="1"/>
    <col min="6" max="6" width="19.5546875" style="1" customWidth="1"/>
    <col min="7" max="7" width="16.6640625" style="1" customWidth="1"/>
    <col min="8" max="8" width="27" style="1" customWidth="1"/>
    <col min="9" max="9" width="11.33203125" style="1" customWidth="1"/>
    <col min="10" max="10" width="12.33203125" style="1" customWidth="1"/>
    <col min="11" max="11" width="11.44140625" style="1" customWidth="1"/>
    <col min="12" max="16" width="8.88671875" style="1"/>
    <col min="18" max="18" width="9.77734375" bestFit="1" customWidth="1"/>
  </cols>
  <sheetData>
    <row r="1" spans="1:5" x14ac:dyDescent="0.3">
      <c r="A1" s="246" t="s">
        <v>0</v>
      </c>
      <c r="B1" s="246"/>
      <c r="D1" s="2"/>
    </row>
    <row r="3" spans="1:5" ht="40.799999999999997" x14ac:dyDescent="0.3">
      <c r="A3" s="3" t="s">
        <v>1</v>
      </c>
      <c r="B3" s="54" t="s">
        <v>2</v>
      </c>
      <c r="C3" s="300" t="s">
        <v>855</v>
      </c>
      <c r="D3" s="300"/>
      <c r="E3" s="300"/>
    </row>
    <row r="4" spans="1:5" x14ac:dyDescent="0.3">
      <c r="D4" s="22"/>
    </row>
    <row r="5" spans="1:5" x14ac:dyDescent="0.3">
      <c r="A5" s="62">
        <v>1</v>
      </c>
      <c r="B5" s="63" t="s">
        <v>3</v>
      </c>
      <c r="C5" s="247" t="s">
        <v>856</v>
      </c>
      <c r="D5" s="248"/>
      <c r="E5" s="249"/>
    </row>
    <row r="6" spans="1:5" x14ac:dyDescent="0.3">
      <c r="A6" s="3"/>
      <c r="B6" s="250" t="s">
        <v>4</v>
      </c>
      <c r="C6" s="251"/>
      <c r="D6" s="252"/>
      <c r="E6" s="10"/>
    </row>
    <row r="7" spans="1:5" x14ac:dyDescent="0.3">
      <c r="A7" s="3"/>
      <c r="B7" s="2"/>
      <c r="D7" s="22"/>
    </row>
    <row r="8" spans="1:5" x14ac:dyDescent="0.3">
      <c r="A8" s="3">
        <v>2</v>
      </c>
      <c r="B8" s="63" t="s">
        <v>5</v>
      </c>
      <c r="C8" s="12" t="s">
        <v>857</v>
      </c>
      <c r="D8" s="22"/>
    </row>
    <row r="9" spans="1:5" x14ac:dyDescent="0.3">
      <c r="A9" s="3"/>
      <c r="B9" s="250" t="s">
        <v>4</v>
      </c>
      <c r="C9" s="251"/>
      <c r="D9" s="252"/>
    </row>
    <row r="10" spans="1:5" x14ac:dyDescent="0.3">
      <c r="A10" s="3"/>
      <c r="B10" s="2"/>
      <c r="D10" s="22"/>
    </row>
    <row r="11" spans="1:5" ht="40.799999999999997" x14ac:dyDescent="0.3">
      <c r="A11" s="3">
        <v>3</v>
      </c>
      <c r="B11" s="63" t="s">
        <v>6</v>
      </c>
      <c r="C11" s="247" t="s">
        <v>90</v>
      </c>
      <c r="D11" s="248"/>
      <c r="E11" s="249"/>
    </row>
    <row r="12" spans="1:5" x14ac:dyDescent="0.3">
      <c r="A12" s="3"/>
      <c r="B12" s="250" t="s">
        <v>4</v>
      </c>
      <c r="C12" s="251"/>
      <c r="D12" s="252"/>
      <c r="E12" s="10"/>
    </row>
    <row r="13" spans="1:5" x14ac:dyDescent="0.3">
      <c r="A13" s="3"/>
      <c r="B13" s="2"/>
      <c r="D13" s="22"/>
    </row>
    <row r="14" spans="1:5" x14ac:dyDescent="0.3">
      <c r="A14" s="3">
        <v>4</v>
      </c>
      <c r="B14" s="54" t="s">
        <v>92</v>
      </c>
      <c r="C14" s="247" t="s">
        <v>90</v>
      </c>
      <c r="D14" s="248"/>
      <c r="E14" s="249"/>
    </row>
    <row r="15" spans="1:5" x14ac:dyDescent="0.3">
      <c r="A15" s="3"/>
      <c r="B15" s="250" t="s">
        <v>4</v>
      </c>
      <c r="C15" s="251"/>
      <c r="D15" s="252"/>
    </row>
    <row r="16" spans="1:5" x14ac:dyDescent="0.3">
      <c r="A16" s="3">
        <v>4</v>
      </c>
      <c r="B16" s="54" t="s">
        <v>7</v>
      </c>
      <c r="C16" s="5" t="s">
        <v>858</v>
      </c>
      <c r="D16" s="22"/>
    </row>
    <row r="17" spans="1:14" x14ac:dyDescent="0.3">
      <c r="A17" s="3"/>
      <c r="B17" s="253" t="s">
        <v>8</v>
      </c>
      <c r="C17" s="254"/>
      <c r="D17" s="22"/>
    </row>
    <row r="18" spans="1:14" x14ac:dyDescent="0.3">
      <c r="A18" s="3"/>
      <c r="D18" s="22"/>
    </row>
    <row r="19" spans="1:14" x14ac:dyDescent="0.3">
      <c r="A19" s="3">
        <v>5</v>
      </c>
      <c r="B19" s="255" t="s">
        <v>9</v>
      </c>
      <c r="C19" s="256"/>
      <c r="D19" s="256"/>
      <c r="E19" s="257"/>
      <c r="F19" s="2"/>
      <c r="G19" s="2"/>
      <c r="H19" s="2"/>
      <c r="I19" s="2"/>
      <c r="J19" s="10"/>
      <c r="K19" s="10"/>
      <c r="L19" s="10"/>
      <c r="M19" s="10"/>
      <c r="N19" s="10"/>
    </row>
    <row r="20" spans="1:14" x14ac:dyDescent="0.3">
      <c r="A20" s="3"/>
      <c r="B20" s="65" t="s">
        <v>10</v>
      </c>
      <c r="C20" s="243">
        <v>1.54E-2</v>
      </c>
      <c r="D20" s="244"/>
      <c r="E20" s="245"/>
      <c r="F20" s="66"/>
      <c r="G20" s="10"/>
      <c r="H20" s="10"/>
      <c r="I20" s="10"/>
      <c r="J20" s="10"/>
      <c r="K20" s="10"/>
      <c r="L20" s="10"/>
      <c r="M20" s="10"/>
      <c r="N20" s="10"/>
    </row>
    <row r="21" spans="1:14" ht="61.2" x14ac:dyDescent="0.3">
      <c r="A21" s="3"/>
      <c r="B21" s="65" t="s">
        <v>885</v>
      </c>
      <c r="C21" s="243" t="s">
        <v>11</v>
      </c>
      <c r="D21" s="244"/>
      <c r="E21" s="245"/>
      <c r="F21" s="66"/>
      <c r="G21" s="10"/>
      <c r="I21" s="10"/>
      <c r="J21" s="10"/>
      <c r="K21" s="10"/>
      <c r="L21" s="10"/>
      <c r="M21" s="10"/>
      <c r="N21" s="10"/>
    </row>
    <row r="22" spans="1:14" x14ac:dyDescent="0.3">
      <c r="A22" s="3"/>
      <c r="B22" s="65" t="s">
        <v>897</v>
      </c>
      <c r="C22" s="243" t="s">
        <v>11</v>
      </c>
      <c r="D22" s="244"/>
      <c r="E22" s="245"/>
      <c r="F22" s="66"/>
      <c r="G22" s="10"/>
      <c r="H22" s="10"/>
      <c r="I22" s="10"/>
      <c r="J22" s="10"/>
      <c r="K22" s="10"/>
      <c r="L22" s="10"/>
      <c r="M22" s="10"/>
      <c r="N22" s="10"/>
    </row>
    <row r="23" spans="1:14" x14ac:dyDescent="0.3">
      <c r="A23" s="3"/>
      <c r="B23" s="64" t="s">
        <v>831</v>
      </c>
      <c r="C23" s="442" t="s">
        <v>78</v>
      </c>
      <c r="D23" s="370"/>
      <c r="E23" s="371"/>
      <c r="F23" s="66"/>
      <c r="G23" s="10"/>
      <c r="H23" s="10"/>
      <c r="I23" s="10"/>
      <c r="J23" s="10"/>
      <c r="K23" s="10"/>
      <c r="L23" s="10"/>
      <c r="M23" s="10"/>
      <c r="N23" s="10"/>
    </row>
    <row r="24" spans="1:14" x14ac:dyDescent="0.3">
      <c r="A24" s="3"/>
      <c r="B24" s="67" t="s">
        <v>898</v>
      </c>
      <c r="C24" s="401" t="s">
        <v>15</v>
      </c>
      <c r="D24" s="401"/>
      <c r="E24" s="401"/>
      <c r="F24" s="66"/>
      <c r="G24" s="10"/>
      <c r="H24" s="10"/>
      <c r="I24" s="10"/>
      <c r="J24" s="10"/>
      <c r="K24" s="10"/>
      <c r="L24" s="10"/>
      <c r="M24" s="10"/>
      <c r="N24" s="10"/>
    </row>
    <row r="25" spans="1:14" x14ac:dyDescent="0.3">
      <c r="A25" s="3"/>
      <c r="B25" s="66" t="s">
        <v>347</v>
      </c>
      <c r="C25" s="66"/>
      <c r="D25" s="66"/>
      <c r="E25" s="66"/>
      <c r="F25" s="66"/>
      <c r="G25" s="10"/>
      <c r="H25" s="10"/>
      <c r="I25" s="10"/>
      <c r="J25" s="10"/>
      <c r="K25" s="10"/>
      <c r="L25" s="10"/>
      <c r="M25" s="10"/>
      <c r="N25" s="10"/>
    </row>
    <row r="26" spans="1:14" x14ac:dyDescent="0.3">
      <c r="A26" s="3">
        <v>6</v>
      </c>
      <c r="B26" s="261" t="s">
        <v>74</v>
      </c>
      <c r="C26" s="262"/>
      <c r="D26" s="262"/>
      <c r="E26" s="263"/>
      <c r="F26" s="2"/>
      <c r="G26" s="2"/>
      <c r="H26" s="10"/>
      <c r="I26" s="2"/>
      <c r="J26" s="2"/>
    </row>
    <row r="27" spans="1:14" x14ac:dyDescent="0.3">
      <c r="A27" s="3"/>
      <c r="B27" s="264" t="s">
        <v>17</v>
      </c>
      <c r="C27" s="265"/>
      <c r="D27" s="265"/>
      <c r="E27" s="266"/>
      <c r="F27" s="66"/>
    </row>
    <row r="28" spans="1:14" x14ac:dyDescent="0.3">
      <c r="A28" s="3"/>
      <c r="B28" s="67" t="s">
        <v>18</v>
      </c>
      <c r="C28" s="25" t="s">
        <v>833</v>
      </c>
      <c r="D28" s="25" t="s">
        <v>834</v>
      </c>
      <c r="E28" s="25" t="s">
        <v>835</v>
      </c>
      <c r="F28" s="66"/>
    </row>
    <row r="29" spans="1:14" x14ac:dyDescent="0.3">
      <c r="A29" s="3"/>
      <c r="B29" s="68" t="s">
        <v>21</v>
      </c>
      <c r="C29" s="127">
        <v>46052.85</v>
      </c>
      <c r="D29" s="267" t="s">
        <v>78</v>
      </c>
      <c r="E29" s="267" t="s">
        <v>22</v>
      </c>
      <c r="F29" s="66"/>
    </row>
    <row r="30" spans="1:14" x14ac:dyDescent="0.3">
      <c r="A30" s="3"/>
      <c r="B30" s="68" t="s">
        <v>23</v>
      </c>
      <c r="C30" s="27">
        <v>888.51</v>
      </c>
      <c r="D30" s="268"/>
      <c r="E30" s="268"/>
      <c r="F30" s="66"/>
    </row>
    <row r="31" spans="1:14" x14ac:dyDescent="0.3">
      <c r="A31" s="3"/>
      <c r="B31" s="68" t="s">
        <v>24</v>
      </c>
      <c r="C31" s="50">
        <v>887.6</v>
      </c>
      <c r="D31" s="268"/>
      <c r="E31" s="268"/>
      <c r="F31" s="66"/>
      <c r="H31" s="203"/>
    </row>
    <row r="32" spans="1:14" x14ac:dyDescent="0.3">
      <c r="A32" s="3"/>
      <c r="B32" s="68" t="s">
        <v>25</v>
      </c>
      <c r="C32" s="127">
        <v>5350.02</v>
      </c>
      <c r="D32" s="269"/>
      <c r="E32" s="269"/>
      <c r="F32" s="66"/>
    </row>
    <row r="33" spans="1:18" x14ac:dyDescent="0.3">
      <c r="A33" s="3"/>
      <c r="B33" s="253" t="s">
        <v>193</v>
      </c>
      <c r="C33" s="270"/>
      <c r="D33" s="270"/>
      <c r="E33" s="254"/>
      <c r="F33" s="66"/>
    </row>
    <row r="34" spans="1:18" x14ac:dyDescent="0.3">
      <c r="A34" s="3"/>
      <c r="B34" s="10"/>
      <c r="C34" s="66"/>
      <c r="D34" s="66"/>
      <c r="E34" s="66"/>
      <c r="F34" s="66"/>
    </row>
    <row r="35" spans="1:18" ht="48.75" customHeight="1" x14ac:dyDescent="0.3">
      <c r="A35" s="3">
        <v>7</v>
      </c>
      <c r="B35" s="261" t="s">
        <v>26</v>
      </c>
      <c r="C35" s="262"/>
      <c r="D35" s="262"/>
      <c r="E35" s="263"/>
      <c r="F35" s="2"/>
      <c r="G35" s="2"/>
      <c r="H35" s="2"/>
      <c r="I35" s="2"/>
      <c r="J35" s="2"/>
    </row>
    <row r="36" spans="1:18" x14ac:dyDescent="0.3">
      <c r="A36" s="3"/>
      <c r="B36" s="67" t="s">
        <v>247</v>
      </c>
      <c r="C36" s="27" t="s">
        <v>918</v>
      </c>
      <c r="D36" s="5"/>
      <c r="E36" s="5"/>
      <c r="F36" s="10"/>
    </row>
    <row r="37" spans="1:18" x14ac:dyDescent="0.3">
      <c r="A37" s="3"/>
      <c r="B37" s="67" t="s">
        <v>28</v>
      </c>
      <c r="C37" s="27" t="s">
        <v>78</v>
      </c>
      <c r="D37" s="10"/>
      <c r="E37" s="10"/>
      <c r="F37" s="10"/>
    </row>
    <row r="38" spans="1:18" x14ac:dyDescent="0.3">
      <c r="A38" s="3"/>
      <c r="B38" s="67" t="s">
        <v>29</v>
      </c>
      <c r="C38" s="27" t="s">
        <v>15</v>
      </c>
      <c r="D38" s="10"/>
      <c r="E38" s="10"/>
      <c r="F38" s="10"/>
    </row>
    <row r="39" spans="1:18" x14ac:dyDescent="0.3">
      <c r="A39" s="3"/>
      <c r="B39" s="271" t="s">
        <v>859</v>
      </c>
      <c r="C39" s="271"/>
      <c r="D39" s="271"/>
      <c r="E39" s="10"/>
      <c r="F39" s="10"/>
    </row>
    <row r="40" spans="1:18" x14ac:dyDescent="0.3">
      <c r="A40" s="3"/>
      <c r="B40" s="66"/>
      <c r="C40" s="10"/>
      <c r="D40" s="10"/>
      <c r="E40" s="10"/>
      <c r="F40" s="10"/>
    </row>
    <row r="41" spans="1:18" x14ac:dyDescent="0.3">
      <c r="A41" s="3">
        <v>8</v>
      </c>
      <c r="B41" s="261" t="s">
        <v>30</v>
      </c>
      <c r="C41" s="262"/>
      <c r="D41" s="262"/>
      <c r="E41" s="263"/>
      <c r="F41" s="2"/>
      <c r="G41" s="2"/>
      <c r="H41" s="2"/>
      <c r="I41" s="2"/>
      <c r="J41" s="2"/>
    </row>
    <row r="42" spans="1:18" x14ac:dyDescent="0.3">
      <c r="A42" s="3"/>
      <c r="B42" s="67" t="s">
        <v>31</v>
      </c>
      <c r="C42" s="258" t="s">
        <v>85</v>
      </c>
      <c r="D42" s="259"/>
      <c r="E42" s="260"/>
      <c r="F42" s="10"/>
    </row>
    <row r="43" spans="1:18" x14ac:dyDescent="0.3">
      <c r="A43" s="3"/>
      <c r="B43" s="67" t="s">
        <v>28</v>
      </c>
      <c r="C43" s="258" t="s">
        <v>78</v>
      </c>
      <c r="D43" s="259"/>
      <c r="E43" s="260"/>
      <c r="F43" s="10"/>
    </row>
    <row r="44" spans="1:18" x14ac:dyDescent="0.3">
      <c r="A44" s="3"/>
      <c r="B44" s="67" t="s">
        <v>29</v>
      </c>
      <c r="C44" s="258" t="s">
        <v>15</v>
      </c>
      <c r="D44" s="259"/>
      <c r="E44" s="260"/>
      <c r="F44" s="10"/>
    </row>
    <row r="45" spans="1:18" x14ac:dyDescent="0.3">
      <c r="A45" s="3"/>
      <c r="B45" s="253" t="s">
        <v>192</v>
      </c>
      <c r="C45" s="270"/>
      <c r="D45" s="270"/>
      <c r="E45" s="254"/>
      <c r="F45" s="10"/>
    </row>
    <row r="46" spans="1:18" x14ac:dyDescent="0.3">
      <c r="A46" s="3"/>
      <c r="D46" s="22"/>
      <c r="E46" s="10"/>
    </row>
    <row r="47" spans="1:18" x14ac:dyDescent="0.3">
      <c r="A47" s="191">
        <v>9</v>
      </c>
      <c r="B47" s="262" t="s">
        <v>32</v>
      </c>
      <c r="C47" s="262"/>
      <c r="D47" s="262"/>
      <c r="E47" s="263"/>
      <c r="F47" s="2"/>
      <c r="G47" s="2"/>
      <c r="H47" s="2"/>
      <c r="I47" s="2"/>
    </row>
    <row r="48" spans="1:18" ht="81.599999999999994" x14ac:dyDescent="0.3">
      <c r="A48" s="191"/>
      <c r="B48" s="24" t="s">
        <v>33</v>
      </c>
      <c r="C48" s="25" t="s">
        <v>34</v>
      </c>
      <c r="D48" s="25" t="s">
        <v>96</v>
      </c>
      <c r="E48" s="25" t="s">
        <v>35</v>
      </c>
      <c r="R48" s="1">
        <f>216+55.34</f>
        <v>271.34000000000003</v>
      </c>
    </row>
    <row r="49" spans="1:16" ht="63" x14ac:dyDescent="0.3">
      <c r="A49" s="191"/>
      <c r="B49" s="195" t="s">
        <v>860</v>
      </c>
      <c r="C49" s="195" t="s">
        <v>861</v>
      </c>
      <c r="D49" s="189" t="s">
        <v>999</v>
      </c>
      <c r="E49" s="27" t="s">
        <v>121</v>
      </c>
    </row>
    <row r="50" spans="1:16" x14ac:dyDescent="0.3">
      <c r="A50" s="191"/>
      <c r="B50" s="403" t="s">
        <v>1000</v>
      </c>
      <c r="C50" s="403"/>
      <c r="D50" s="403"/>
      <c r="E50" s="403"/>
    </row>
    <row r="51" spans="1:16" x14ac:dyDescent="0.3">
      <c r="A51" s="191"/>
      <c r="B51" s="219" t="s">
        <v>862</v>
      </c>
      <c r="C51" s="83"/>
      <c r="D51" s="68"/>
      <c r="E51" s="83"/>
    </row>
    <row r="52" spans="1:16" x14ac:dyDescent="0.3">
      <c r="A52" s="191"/>
      <c r="B52" s="28"/>
      <c r="C52" s="22"/>
      <c r="D52" s="22"/>
      <c r="E52" s="22"/>
      <c r="F52" s="66"/>
      <c r="G52" s="66"/>
      <c r="H52" s="66"/>
      <c r="I52" s="66"/>
    </row>
    <row r="53" spans="1:16" x14ac:dyDescent="0.3">
      <c r="A53" s="191">
        <v>10</v>
      </c>
      <c r="B53" s="262" t="s">
        <v>32</v>
      </c>
      <c r="C53" s="262"/>
      <c r="D53" s="262"/>
      <c r="E53" s="263"/>
      <c r="F53" s="66"/>
      <c r="G53" s="66"/>
      <c r="H53" s="66"/>
    </row>
    <row r="54" spans="1:16" ht="53.25" customHeight="1" x14ac:dyDescent="0.3">
      <c r="A54" s="191"/>
      <c r="B54" s="275" t="s">
        <v>36</v>
      </c>
      <c r="C54" s="277" t="s">
        <v>861</v>
      </c>
      <c r="D54" s="278"/>
      <c r="E54" s="279"/>
      <c r="K54" s="2"/>
    </row>
    <row r="55" spans="1:16" ht="51" customHeight="1" x14ac:dyDescent="0.3">
      <c r="A55" s="191"/>
      <c r="B55" s="276"/>
      <c r="C55" s="280"/>
      <c r="D55" s="281"/>
      <c r="E55" s="282"/>
      <c r="K55" s="2"/>
    </row>
    <row r="56" spans="1:16" ht="88.95" customHeight="1" x14ac:dyDescent="0.3">
      <c r="A56" s="191"/>
      <c r="B56" s="29" t="s">
        <v>37</v>
      </c>
      <c r="C56" s="283" t="s">
        <v>999</v>
      </c>
      <c r="D56" s="284"/>
      <c r="E56" s="285"/>
    </row>
    <row r="57" spans="1:16" x14ac:dyDescent="0.3">
      <c r="A57" s="191"/>
      <c r="B57" s="29" t="s">
        <v>38</v>
      </c>
      <c r="C57" s="286" t="s">
        <v>121</v>
      </c>
      <c r="D57" s="287"/>
      <c r="E57" s="288"/>
      <c r="K57" s="30"/>
    </row>
    <row r="58" spans="1:16" x14ac:dyDescent="0.4">
      <c r="A58" s="111" t="s">
        <v>39</v>
      </c>
      <c r="B58" s="290" t="s">
        <v>863</v>
      </c>
      <c r="C58" s="290"/>
      <c r="D58" s="290"/>
      <c r="E58" s="291"/>
      <c r="F58" s="32"/>
      <c r="G58" s="32"/>
      <c r="H58" s="32"/>
      <c r="I58" s="32"/>
      <c r="J58" s="32"/>
      <c r="K58" s="32"/>
      <c r="L58" s="32"/>
      <c r="M58" s="32"/>
      <c r="N58" s="32"/>
      <c r="O58" s="32"/>
      <c r="P58" s="32"/>
    </row>
    <row r="59" spans="1:16" x14ac:dyDescent="0.3">
      <c r="A59" s="71"/>
      <c r="B59" s="403" t="s">
        <v>1000</v>
      </c>
      <c r="C59" s="403"/>
      <c r="D59" s="403"/>
      <c r="E59" s="403"/>
      <c r="F59" s="73"/>
    </row>
    <row r="60" spans="1:16" x14ac:dyDescent="0.3">
      <c r="A60" s="3">
        <v>11</v>
      </c>
      <c r="B60" s="54" t="s">
        <v>41</v>
      </c>
      <c r="C60" s="270" t="s">
        <v>121</v>
      </c>
      <c r="D60" s="270"/>
      <c r="E60" s="270"/>
      <c r="F60" s="2"/>
      <c r="G60" s="2"/>
      <c r="H60" s="74"/>
      <c r="I60" s="2"/>
      <c r="J60" s="2"/>
    </row>
    <row r="61" spans="1:16" x14ac:dyDescent="0.3">
      <c r="A61" s="3"/>
      <c r="B61" s="66"/>
      <c r="C61" s="270"/>
      <c r="D61" s="270"/>
      <c r="E61" s="270"/>
      <c r="F61" s="66"/>
      <c r="G61" s="66"/>
      <c r="H61" s="75"/>
      <c r="I61" s="75"/>
      <c r="J61" s="66"/>
    </row>
    <row r="62" spans="1:16" x14ac:dyDescent="0.3">
      <c r="A62" s="76">
        <v>12</v>
      </c>
      <c r="B62" s="77" t="s">
        <v>42</v>
      </c>
      <c r="C62" s="272"/>
      <c r="D62" s="273"/>
      <c r="E62" s="274"/>
      <c r="F62" s="78"/>
      <c r="G62" s="79"/>
      <c r="H62" s="79"/>
      <c r="I62" s="79"/>
      <c r="J62" s="79"/>
      <c r="K62" s="79"/>
      <c r="L62" s="79"/>
      <c r="M62" s="79"/>
      <c r="N62" s="79"/>
      <c r="O62" s="42"/>
      <c r="P62" s="42"/>
    </row>
    <row r="63" spans="1:16" x14ac:dyDescent="0.3">
      <c r="A63" s="3"/>
      <c r="B63" s="2"/>
      <c r="C63" s="2"/>
      <c r="D63" s="2"/>
      <c r="E63" s="74"/>
      <c r="F63" s="74"/>
      <c r="G63" s="74"/>
      <c r="H63" s="2"/>
      <c r="I63" s="2"/>
      <c r="J63" s="2"/>
      <c r="K63" s="2"/>
      <c r="L63" s="2"/>
      <c r="M63" s="2"/>
      <c r="N63" s="2"/>
    </row>
    <row r="64" spans="1:16" x14ac:dyDescent="0.3">
      <c r="A64" s="3"/>
      <c r="B64" s="67" t="s">
        <v>43</v>
      </c>
      <c r="C64" s="68" t="s">
        <v>864</v>
      </c>
      <c r="D64" s="66"/>
      <c r="E64" s="66"/>
      <c r="F64" s="75"/>
      <c r="G64" s="75"/>
      <c r="H64" s="66"/>
      <c r="I64" s="66"/>
      <c r="J64" s="66"/>
      <c r="K64" s="66"/>
      <c r="L64" s="66"/>
      <c r="M64" s="66"/>
      <c r="N64" s="66"/>
    </row>
    <row r="65" spans="1:14" x14ac:dyDescent="0.3">
      <c r="A65" s="3"/>
      <c r="B65" s="66"/>
      <c r="C65" s="66"/>
      <c r="D65" s="66"/>
      <c r="E65" s="66"/>
      <c r="F65" s="66"/>
      <c r="G65" s="66"/>
      <c r="H65" s="66"/>
      <c r="I65" s="66"/>
      <c r="J65" s="66"/>
      <c r="K65" s="66"/>
      <c r="L65" s="66"/>
      <c r="M65" s="66"/>
      <c r="N65" s="66"/>
    </row>
    <row r="66" spans="1:14" ht="93" customHeight="1" x14ac:dyDescent="0.3">
      <c r="A66" s="3"/>
      <c r="B66" s="295" t="s">
        <v>44</v>
      </c>
      <c r="C66" s="295" t="s">
        <v>865</v>
      </c>
      <c r="D66" s="295" t="s">
        <v>68</v>
      </c>
      <c r="E66" s="297" t="s">
        <v>45</v>
      </c>
      <c r="F66" s="292" t="s">
        <v>899</v>
      </c>
      <c r="G66" s="293"/>
      <c r="H66" s="294"/>
      <c r="I66" s="292" t="s">
        <v>900</v>
      </c>
      <c r="J66" s="293"/>
      <c r="K66" s="294"/>
      <c r="L66" s="292" t="s">
        <v>901</v>
      </c>
      <c r="M66" s="293"/>
      <c r="N66" s="294"/>
    </row>
    <row r="67" spans="1:14" ht="102" x14ac:dyDescent="0.3">
      <c r="A67" s="3"/>
      <c r="B67" s="296"/>
      <c r="C67" s="296"/>
      <c r="D67" s="296"/>
      <c r="E67" s="298"/>
      <c r="F67" s="67" t="s">
        <v>46</v>
      </c>
      <c r="G67" s="67" t="s">
        <v>47</v>
      </c>
      <c r="H67" s="67" t="s">
        <v>48</v>
      </c>
      <c r="I67" s="67" t="s">
        <v>49</v>
      </c>
      <c r="J67" s="67" t="s">
        <v>47</v>
      </c>
      <c r="K67" s="67" t="s">
        <v>48</v>
      </c>
      <c r="L67" s="67" t="s">
        <v>49</v>
      </c>
      <c r="M67" s="67" t="s">
        <v>47</v>
      </c>
      <c r="N67" s="67" t="s">
        <v>48</v>
      </c>
    </row>
    <row r="68" spans="1:14" x14ac:dyDescent="0.3">
      <c r="A68" s="3"/>
      <c r="B68" s="67" t="s">
        <v>112</v>
      </c>
      <c r="C68" s="82">
        <v>77.13</v>
      </c>
      <c r="D68" s="82">
        <v>56.28</v>
      </c>
      <c r="E68" s="121">
        <v>78.5</v>
      </c>
      <c r="F68" s="121">
        <v>108.65</v>
      </c>
      <c r="G68" s="121">
        <v>117.4</v>
      </c>
      <c r="H68" s="121">
        <v>54.5</v>
      </c>
      <c r="I68" s="345" t="s">
        <v>109</v>
      </c>
      <c r="J68" s="346"/>
      <c r="K68" s="347"/>
      <c r="L68" s="345" t="s">
        <v>108</v>
      </c>
      <c r="M68" s="346"/>
      <c r="N68" s="347"/>
    </row>
    <row r="69" spans="1:14" ht="40.799999999999997" x14ac:dyDescent="0.3">
      <c r="A69" s="3"/>
      <c r="B69" s="69" t="s">
        <v>113</v>
      </c>
      <c r="C69" s="82">
        <v>81790.12</v>
      </c>
      <c r="D69" s="82">
        <v>83459.149999999994</v>
      </c>
      <c r="E69" s="121">
        <v>85439.62</v>
      </c>
      <c r="F69" s="121">
        <v>71947.55</v>
      </c>
      <c r="G69" s="121">
        <v>86159.02</v>
      </c>
      <c r="H69" s="121">
        <v>71425.009999999995</v>
      </c>
      <c r="I69" s="348"/>
      <c r="J69" s="349"/>
      <c r="K69" s="350"/>
      <c r="L69" s="348"/>
      <c r="M69" s="349"/>
      <c r="N69" s="350"/>
    </row>
    <row r="70" spans="1:14" x14ac:dyDescent="0.3">
      <c r="A70" s="3"/>
      <c r="B70" s="253" t="s">
        <v>344</v>
      </c>
      <c r="C70" s="270"/>
      <c r="D70" s="270"/>
      <c r="E70" s="270"/>
      <c r="F70" s="270"/>
      <c r="G70" s="270"/>
      <c r="H70" s="270"/>
      <c r="I70" s="270"/>
      <c r="J70" s="270"/>
      <c r="K70" s="270"/>
      <c r="L70" s="270"/>
      <c r="M70" s="270"/>
      <c r="N70" s="254"/>
    </row>
    <row r="71" spans="1:14" x14ac:dyDescent="0.3">
      <c r="A71" s="3"/>
      <c r="B71" s="253" t="s">
        <v>345</v>
      </c>
      <c r="C71" s="270"/>
      <c r="D71" s="270"/>
      <c r="E71" s="270"/>
      <c r="F71" s="254"/>
      <c r="G71" s="83"/>
      <c r="H71" s="83"/>
      <c r="I71" s="83"/>
      <c r="J71" s="83"/>
      <c r="K71" s="83"/>
      <c r="L71" s="83"/>
      <c r="M71" s="83"/>
      <c r="N71" s="83"/>
    </row>
    <row r="72" spans="1:14" x14ac:dyDescent="0.3">
      <c r="A72" s="3"/>
      <c r="B72" s="253" t="s">
        <v>70</v>
      </c>
      <c r="C72" s="270"/>
      <c r="D72" s="270"/>
      <c r="E72" s="270"/>
      <c r="F72" s="254"/>
      <c r="G72" s="83"/>
      <c r="H72" s="83"/>
      <c r="I72" s="83"/>
      <c r="J72" s="83"/>
      <c r="K72" s="83"/>
      <c r="L72" s="83"/>
      <c r="M72" s="83"/>
      <c r="N72" s="83"/>
    </row>
    <row r="73" spans="1:14" x14ac:dyDescent="0.3">
      <c r="A73" s="3"/>
      <c r="B73" s="253" t="s">
        <v>71</v>
      </c>
      <c r="C73" s="270"/>
      <c r="D73" s="270"/>
      <c r="E73" s="270"/>
      <c r="F73" s="254"/>
      <c r="G73" s="83"/>
      <c r="H73" s="83"/>
      <c r="I73" s="83"/>
      <c r="J73" s="83"/>
      <c r="K73" s="83"/>
      <c r="L73" s="83"/>
      <c r="M73" s="83"/>
      <c r="N73" s="83"/>
    </row>
    <row r="74" spans="1:14" x14ac:dyDescent="0.3">
      <c r="A74" s="3"/>
      <c r="B74" s="84"/>
      <c r="C74" s="84"/>
      <c r="D74" s="84"/>
      <c r="E74" s="84"/>
      <c r="F74" s="84"/>
      <c r="G74" s="10"/>
      <c r="H74" s="10"/>
      <c r="I74" s="10"/>
      <c r="J74" s="10"/>
      <c r="K74" s="10"/>
      <c r="L74" s="10"/>
      <c r="M74" s="10"/>
      <c r="N74" s="10"/>
    </row>
    <row r="75" spans="1:14" x14ac:dyDescent="0.3">
      <c r="A75" s="3">
        <v>13</v>
      </c>
      <c r="B75" s="261" t="s">
        <v>51</v>
      </c>
      <c r="C75" s="262"/>
      <c r="D75" s="262"/>
      <c r="E75" s="262"/>
      <c r="F75" s="262"/>
      <c r="G75" s="263"/>
      <c r="H75" s="2"/>
      <c r="I75" s="2"/>
      <c r="J75" s="2"/>
      <c r="K75" s="2"/>
      <c r="L75" s="2"/>
      <c r="M75" s="2"/>
      <c r="N75" s="2"/>
    </row>
    <row r="76" spans="1:14" x14ac:dyDescent="0.3">
      <c r="A76" s="3"/>
      <c r="C76" s="66"/>
      <c r="D76" s="66"/>
      <c r="E76" s="66"/>
      <c r="F76" s="66"/>
      <c r="G76" s="66"/>
      <c r="H76" s="66"/>
      <c r="I76" s="66"/>
      <c r="J76" s="66"/>
      <c r="K76" s="66"/>
      <c r="L76" s="66"/>
      <c r="M76" s="66"/>
      <c r="N76" s="66"/>
    </row>
    <row r="77" spans="1:14" ht="40.799999999999997" x14ac:dyDescent="0.3">
      <c r="A77" s="3"/>
      <c r="B77" s="25" t="s">
        <v>52</v>
      </c>
      <c r="C77" s="25" t="s">
        <v>53</v>
      </c>
      <c r="D77" s="25" t="s">
        <v>603</v>
      </c>
      <c r="E77" s="25" t="s">
        <v>54</v>
      </c>
      <c r="F77" s="25" t="s">
        <v>55</v>
      </c>
      <c r="G77" s="25" t="s">
        <v>56</v>
      </c>
      <c r="H77" s="10"/>
      <c r="I77" s="10"/>
      <c r="J77" s="10"/>
      <c r="K77" s="10"/>
      <c r="L77" s="10"/>
      <c r="M77" s="10"/>
      <c r="N77" s="10"/>
    </row>
    <row r="78" spans="1:14" x14ac:dyDescent="0.3">
      <c r="A78" s="3"/>
      <c r="B78" s="297" t="s">
        <v>72</v>
      </c>
      <c r="C78" s="54" t="s">
        <v>868</v>
      </c>
      <c r="D78" s="151">
        <v>11.65</v>
      </c>
      <c r="E78" s="88">
        <v>10.01</v>
      </c>
      <c r="F78" s="311" t="s">
        <v>83</v>
      </c>
      <c r="G78" s="311" t="s">
        <v>83</v>
      </c>
    </row>
    <row r="79" spans="1:14" x14ac:dyDescent="0.3">
      <c r="A79" s="3"/>
      <c r="B79" s="309"/>
      <c r="C79" s="54" t="s">
        <v>237</v>
      </c>
      <c r="E79" s="88"/>
      <c r="F79" s="311"/>
      <c r="G79" s="311"/>
    </row>
    <row r="80" spans="1:14" x14ac:dyDescent="0.3">
      <c r="A80" s="3"/>
      <c r="B80" s="309"/>
      <c r="C80" s="5" t="s">
        <v>866</v>
      </c>
      <c r="D80" s="135">
        <v>0.11</v>
      </c>
      <c r="E80" s="90">
        <v>0.1</v>
      </c>
      <c r="F80" s="311"/>
      <c r="G80" s="311"/>
    </row>
    <row r="81" spans="1:7" x14ac:dyDescent="0.3">
      <c r="A81" s="3"/>
      <c r="B81" s="309"/>
      <c r="C81" s="5" t="s">
        <v>867</v>
      </c>
      <c r="D81" s="135">
        <v>0.02</v>
      </c>
      <c r="E81" s="88">
        <v>0.56999999999999995</v>
      </c>
      <c r="F81" s="311"/>
      <c r="G81" s="311"/>
    </row>
    <row r="82" spans="1:7" x14ac:dyDescent="0.3">
      <c r="A82" s="3"/>
      <c r="B82" s="298"/>
      <c r="C82" s="54"/>
      <c r="D82" s="140">
        <f>AVERAGE(D80:D81)</f>
        <v>6.5000000000000002E-2</v>
      </c>
      <c r="E82" s="140">
        <f>AVERAGE(E80:E81)</f>
        <v>0.33499999999999996</v>
      </c>
      <c r="F82" s="311"/>
      <c r="G82" s="311"/>
    </row>
    <row r="83" spans="1:7" x14ac:dyDescent="0.3">
      <c r="A83" s="3"/>
      <c r="B83" s="297" t="s">
        <v>59</v>
      </c>
      <c r="C83" s="54" t="s">
        <v>868</v>
      </c>
      <c r="D83" s="141">
        <v>8.5</v>
      </c>
      <c r="E83" s="227">
        <f>108.65/E78</f>
        <v>10.854145854145855</v>
      </c>
      <c r="F83" s="311"/>
      <c r="G83" s="311"/>
    </row>
    <row r="84" spans="1:7" x14ac:dyDescent="0.3">
      <c r="A84" s="3"/>
      <c r="B84" s="309"/>
      <c r="C84" s="54" t="s">
        <v>237</v>
      </c>
      <c r="D84" s="135"/>
      <c r="E84" s="88"/>
      <c r="F84" s="311"/>
      <c r="G84" s="311"/>
    </row>
    <row r="85" spans="1:7" x14ac:dyDescent="0.3">
      <c r="A85" s="3"/>
      <c r="B85" s="309"/>
      <c r="C85" s="5" t="s">
        <v>866</v>
      </c>
      <c r="D85" s="153">
        <v>9.64</v>
      </c>
      <c r="E85" s="90">
        <f>0.71/E80</f>
        <v>7.1</v>
      </c>
      <c r="F85" s="311"/>
      <c r="G85" s="311"/>
    </row>
    <row r="86" spans="1:7" x14ac:dyDescent="0.3">
      <c r="A86" s="3"/>
      <c r="B86" s="309"/>
      <c r="C86" s="5" t="s">
        <v>867</v>
      </c>
      <c r="D86" s="135">
        <v>2550</v>
      </c>
      <c r="E86" s="90">
        <f>29.98/F68</f>
        <v>0.27593189139438562</v>
      </c>
      <c r="F86" s="311"/>
      <c r="G86" s="311"/>
    </row>
    <row r="87" spans="1:7" x14ac:dyDescent="0.3">
      <c r="A87" s="3"/>
      <c r="B87" s="298"/>
      <c r="C87" s="54"/>
      <c r="D87" s="140">
        <f>AVERAGE(D85:D86)</f>
        <v>1279.82</v>
      </c>
      <c r="E87" s="88"/>
      <c r="F87" s="311"/>
      <c r="G87" s="311"/>
    </row>
    <row r="88" spans="1:7" x14ac:dyDescent="0.3">
      <c r="A88" s="3"/>
      <c r="B88" s="297" t="s">
        <v>60</v>
      </c>
      <c r="C88" s="54" t="s">
        <v>868</v>
      </c>
      <c r="D88" s="142">
        <v>0.23350000000000001</v>
      </c>
      <c r="E88" s="110">
        <v>0.1424</v>
      </c>
      <c r="F88" s="311"/>
      <c r="G88" s="311"/>
    </row>
    <row r="89" spans="1:7" x14ac:dyDescent="0.3">
      <c r="A89" s="3"/>
      <c r="B89" s="309"/>
      <c r="C89" s="54" t="s">
        <v>237</v>
      </c>
      <c r="D89" s="5"/>
      <c r="E89" s="88"/>
      <c r="F89" s="311"/>
      <c r="G89" s="311"/>
    </row>
    <row r="90" spans="1:7" x14ac:dyDescent="0.3">
      <c r="A90" s="3"/>
      <c r="B90" s="309"/>
      <c r="C90" s="5" t="s">
        <v>866</v>
      </c>
      <c r="D90" s="205">
        <v>8.4500000000000006E-2</v>
      </c>
      <c r="E90" s="110">
        <v>6.3399999999999998E-2</v>
      </c>
      <c r="F90" s="311"/>
      <c r="G90" s="311"/>
    </row>
    <row r="91" spans="1:7" x14ac:dyDescent="0.3">
      <c r="A91" s="3"/>
      <c r="B91" s="309"/>
      <c r="C91" s="5" t="s">
        <v>867</v>
      </c>
      <c r="D91" s="126">
        <v>3.1399999999999997E-2</v>
      </c>
      <c r="E91" s="88">
        <v>2.52</v>
      </c>
      <c r="F91" s="311"/>
      <c r="G91" s="311"/>
    </row>
    <row r="92" spans="1:7" x14ac:dyDescent="0.3">
      <c r="A92" s="3"/>
      <c r="B92" s="298"/>
      <c r="C92" s="54"/>
      <c r="D92" s="140">
        <f>AVERAGE(D90:D91)</f>
        <v>5.7950000000000002E-2</v>
      </c>
      <c r="E92" s="88"/>
      <c r="F92" s="311"/>
      <c r="G92" s="311"/>
    </row>
    <row r="93" spans="1:7" x14ac:dyDescent="0.3">
      <c r="A93" s="3"/>
      <c r="B93" s="310" t="s">
        <v>61</v>
      </c>
      <c r="C93" s="54" t="s">
        <v>868</v>
      </c>
      <c r="D93" s="135">
        <v>49.89</v>
      </c>
      <c r="E93" s="88">
        <v>70.28</v>
      </c>
      <c r="F93" s="311"/>
      <c r="G93" s="311"/>
    </row>
    <row r="94" spans="1:7" x14ac:dyDescent="0.3">
      <c r="A94" s="3"/>
      <c r="B94" s="310"/>
      <c r="C94" s="54" t="s">
        <v>237</v>
      </c>
      <c r="D94" s="135"/>
      <c r="E94" s="88"/>
      <c r="F94" s="311"/>
      <c r="G94" s="311"/>
    </row>
    <row r="95" spans="1:7" x14ac:dyDescent="0.3">
      <c r="A95" s="3"/>
      <c r="B95" s="310"/>
      <c r="C95" s="5" t="s">
        <v>866</v>
      </c>
      <c r="D95" s="135">
        <v>23.43</v>
      </c>
      <c r="E95" s="88">
        <v>1.46</v>
      </c>
      <c r="F95" s="311"/>
      <c r="G95" s="311"/>
    </row>
    <row r="96" spans="1:7" x14ac:dyDescent="0.3">
      <c r="A96" s="3"/>
      <c r="B96" s="310"/>
      <c r="C96" s="5" t="s">
        <v>867</v>
      </c>
      <c r="D96" s="135">
        <v>21.99</v>
      </c>
      <c r="E96" s="88">
        <v>22.57</v>
      </c>
      <c r="F96" s="311"/>
      <c r="G96" s="311"/>
    </row>
    <row r="97" spans="1:16" x14ac:dyDescent="0.35">
      <c r="A97" s="3"/>
      <c r="B97" s="310"/>
      <c r="C97" s="54"/>
      <c r="D97" s="144">
        <f>AVERAGE(D95:D96)</f>
        <v>22.71</v>
      </c>
      <c r="E97" s="88"/>
      <c r="F97" s="311"/>
      <c r="G97" s="311"/>
    </row>
    <row r="98" spans="1:16" x14ac:dyDescent="0.3">
      <c r="A98" s="3"/>
      <c r="B98" s="301"/>
      <c r="C98" s="302"/>
      <c r="D98" s="302"/>
      <c r="E98" s="302"/>
      <c r="F98" s="302"/>
      <c r="G98" s="303"/>
    </row>
    <row r="99" spans="1:16" x14ac:dyDescent="0.3">
      <c r="A99" s="2"/>
      <c r="B99" s="253" t="s">
        <v>82</v>
      </c>
      <c r="C99" s="270"/>
      <c r="D99" s="270"/>
      <c r="E99" s="270"/>
      <c r="F99" s="270"/>
      <c r="G99" s="254"/>
      <c r="H99" s="2"/>
      <c r="I99" s="2"/>
      <c r="J99" s="2"/>
      <c r="K99" s="2"/>
      <c r="L99" s="2"/>
      <c r="M99" s="2"/>
      <c r="N99" s="2"/>
      <c r="O99" s="2"/>
      <c r="P99" s="2"/>
    </row>
    <row r="100" spans="1:16" x14ac:dyDescent="0.3">
      <c r="A100" s="3"/>
      <c r="B100" s="304" t="s">
        <v>869</v>
      </c>
      <c r="C100" s="242"/>
      <c r="D100" s="242"/>
      <c r="E100" s="242"/>
      <c r="F100" s="242"/>
      <c r="G100" s="305"/>
    </row>
    <row r="101" spans="1:16" x14ac:dyDescent="0.3">
      <c r="A101" s="3"/>
      <c r="B101" s="248"/>
      <c r="C101" s="248"/>
      <c r="D101" s="248"/>
      <c r="E101" s="55"/>
      <c r="F101" s="55"/>
      <c r="G101" s="55"/>
    </row>
    <row r="102" spans="1:16" x14ac:dyDescent="0.3">
      <c r="C102" s="306"/>
      <c r="D102" s="306"/>
      <c r="E102" s="306"/>
      <c r="F102" s="306"/>
      <c r="G102" s="306"/>
    </row>
    <row r="103" spans="1:16" x14ac:dyDescent="0.3">
      <c r="A103" s="3">
        <v>14</v>
      </c>
      <c r="B103" s="54" t="s">
        <v>63</v>
      </c>
      <c r="C103" s="307" t="s">
        <v>50</v>
      </c>
      <c r="D103" s="308"/>
      <c r="E103" s="308"/>
      <c r="F103" s="308"/>
      <c r="G103" s="249"/>
    </row>
    <row r="104" spans="1:16" x14ac:dyDescent="0.3">
      <c r="C104" s="55"/>
      <c r="D104" s="55"/>
      <c r="E104" s="55"/>
      <c r="F104" s="55"/>
      <c r="G104" s="55"/>
    </row>
    <row r="105" spans="1:16" x14ac:dyDescent="0.3">
      <c r="B105" s="299" t="s">
        <v>870</v>
      </c>
      <c r="C105" s="299"/>
      <c r="D105" s="299"/>
      <c r="E105" s="299"/>
      <c r="F105" s="299"/>
      <c r="G105" s="299"/>
      <c r="H105" s="299"/>
    </row>
    <row r="110" spans="1:16" x14ac:dyDescent="0.3">
      <c r="D110" s="56"/>
      <c r="E110" s="56"/>
    </row>
    <row r="111" spans="1:16" x14ac:dyDescent="0.3">
      <c r="E111" s="56"/>
    </row>
  </sheetData>
  <mergeCells count="67">
    <mergeCell ref="B59:E59"/>
    <mergeCell ref="B105:H105"/>
    <mergeCell ref="B98:G98"/>
    <mergeCell ref="B99:G99"/>
    <mergeCell ref="B100:G100"/>
    <mergeCell ref="B101:D101"/>
    <mergeCell ref="C102:G102"/>
    <mergeCell ref="C103:G103"/>
    <mergeCell ref="B71:F71"/>
    <mergeCell ref="B72:F72"/>
    <mergeCell ref="B73:F73"/>
    <mergeCell ref="B75:G75"/>
    <mergeCell ref="B78:B82"/>
    <mergeCell ref="F78:F97"/>
    <mergeCell ref="G78:G97"/>
    <mergeCell ref="B83:B87"/>
    <mergeCell ref="B88:B92"/>
    <mergeCell ref="B93:B97"/>
    <mergeCell ref="B70:N70"/>
    <mergeCell ref="C60:E60"/>
    <mergeCell ref="C61:E61"/>
    <mergeCell ref="C62:E62"/>
    <mergeCell ref="B66:B67"/>
    <mergeCell ref="C66:C67"/>
    <mergeCell ref="D66:D67"/>
    <mergeCell ref="E66:E67"/>
    <mergeCell ref="F66:H66"/>
    <mergeCell ref="I66:K66"/>
    <mergeCell ref="L66:N66"/>
    <mergeCell ref="I68:K69"/>
    <mergeCell ref="L68:N69"/>
    <mergeCell ref="B58:E58"/>
    <mergeCell ref="C42:E42"/>
    <mergeCell ref="C43:E43"/>
    <mergeCell ref="C44:E44"/>
    <mergeCell ref="B45:E45"/>
    <mergeCell ref="B47:E47"/>
    <mergeCell ref="B50:E50"/>
    <mergeCell ref="B53:E53"/>
    <mergeCell ref="B54:B55"/>
    <mergeCell ref="C54:E55"/>
    <mergeCell ref="C56:E56"/>
    <mergeCell ref="C57:E57"/>
    <mergeCell ref="B41:E41"/>
    <mergeCell ref="C21:E21"/>
    <mergeCell ref="C22:E22"/>
    <mergeCell ref="C23:E23"/>
    <mergeCell ref="C24:E24"/>
    <mergeCell ref="B26:E26"/>
    <mergeCell ref="B27:E27"/>
    <mergeCell ref="D29:D32"/>
    <mergeCell ref="E29:E32"/>
    <mergeCell ref="B33:E33"/>
    <mergeCell ref="B35:E35"/>
    <mergeCell ref="B39:D39"/>
    <mergeCell ref="C20:E20"/>
    <mergeCell ref="A1:B1"/>
    <mergeCell ref="C3:E3"/>
    <mergeCell ref="C5:E5"/>
    <mergeCell ref="B6:D6"/>
    <mergeCell ref="B9:D9"/>
    <mergeCell ref="C11:E11"/>
    <mergeCell ref="B12:D12"/>
    <mergeCell ref="C14:E14"/>
    <mergeCell ref="B15:D15"/>
    <mergeCell ref="B17:C17"/>
    <mergeCell ref="B19:E19"/>
  </mergeCells>
  <pageMargins left="0.7" right="0.7" top="0.75" bottom="0.75" header="0.3" footer="0.3"/>
  <pageSetup scale="2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43CB1-9D4D-4EF0-8514-3D901C1E19AC}">
  <dimension ref="A1:R112"/>
  <sheetViews>
    <sheetView view="pageBreakPreview" topLeftCell="A25" zoomScale="62" zoomScaleSheetLayoutView="50" workbookViewId="0">
      <selection activeCell="C8" sqref="C8"/>
    </sheetView>
  </sheetViews>
  <sheetFormatPr defaultColWidth="8.6640625" defaultRowHeight="21" x14ac:dyDescent="0.3"/>
  <cols>
    <col min="1" max="1" width="8.6640625" style="1"/>
    <col min="2" max="2" width="46.33203125" style="1" customWidth="1"/>
    <col min="3" max="3" width="89.44140625" style="1" customWidth="1"/>
    <col min="4" max="4" width="42.33203125" style="1" customWidth="1"/>
    <col min="5" max="5" width="28.44140625" style="1" customWidth="1"/>
    <col min="6" max="6" width="24.88671875" style="1" customWidth="1"/>
    <col min="7" max="7" width="34" style="1" customWidth="1"/>
    <col min="8" max="8" width="33.5546875" style="1" customWidth="1"/>
    <col min="9" max="9" width="17.6640625" style="1" customWidth="1"/>
    <col min="10" max="10" width="21.33203125" style="1" bestFit="1" customWidth="1"/>
    <col min="11" max="11" width="19" style="1" customWidth="1"/>
    <col min="12" max="12" width="13" style="1" bestFit="1" customWidth="1"/>
    <col min="13" max="13" width="19.5546875" style="1" customWidth="1"/>
    <col min="14" max="14" width="11.44140625" style="1" bestFit="1" customWidth="1"/>
    <col min="15" max="16384" width="8.6640625" style="1"/>
  </cols>
  <sheetData>
    <row r="1" spans="1:5" x14ac:dyDescent="0.3">
      <c r="A1" s="246" t="s">
        <v>0</v>
      </c>
      <c r="B1" s="246"/>
      <c r="D1" s="2"/>
    </row>
    <row r="3" spans="1:5" ht="40.799999999999997" x14ac:dyDescent="0.3">
      <c r="A3" s="3" t="s">
        <v>1</v>
      </c>
      <c r="B3" s="54" t="s">
        <v>2</v>
      </c>
      <c r="C3" s="5" t="s">
        <v>886</v>
      </c>
    </row>
    <row r="4" spans="1:5" x14ac:dyDescent="0.3">
      <c r="D4" s="22"/>
    </row>
    <row r="5" spans="1:5" x14ac:dyDescent="0.3">
      <c r="A5" s="62">
        <v>1</v>
      </c>
      <c r="B5" s="63" t="s">
        <v>3</v>
      </c>
      <c r="C5" s="247" t="s">
        <v>101</v>
      </c>
      <c r="D5" s="248"/>
      <c r="E5" s="249"/>
    </row>
    <row r="6" spans="1:5" x14ac:dyDescent="0.3">
      <c r="A6" s="3"/>
      <c r="B6" s="412" t="s">
        <v>4</v>
      </c>
      <c r="C6" s="412"/>
      <c r="D6" s="412"/>
      <c r="E6" s="10"/>
    </row>
    <row r="7" spans="1:5" x14ac:dyDescent="0.3">
      <c r="A7" s="3"/>
      <c r="B7" s="2"/>
      <c r="D7" s="22"/>
    </row>
    <row r="8" spans="1:5" x14ac:dyDescent="0.3">
      <c r="A8" s="3">
        <v>2</v>
      </c>
      <c r="B8" s="63" t="s">
        <v>5</v>
      </c>
      <c r="C8" s="12" t="s">
        <v>170</v>
      </c>
      <c r="D8" s="22"/>
    </row>
    <row r="9" spans="1:5" x14ac:dyDescent="0.3">
      <c r="A9" s="3"/>
      <c r="B9" s="250" t="s">
        <v>4</v>
      </c>
      <c r="C9" s="251"/>
      <c r="D9" s="252"/>
    </row>
    <row r="10" spans="1:5" x14ac:dyDescent="0.3">
      <c r="A10" s="3"/>
      <c r="B10" s="2"/>
      <c r="D10" s="22"/>
    </row>
    <row r="11" spans="1:5" ht="49.2" customHeight="1" x14ac:dyDescent="0.3">
      <c r="A11" s="3">
        <v>3</v>
      </c>
      <c r="B11" s="63" t="s">
        <v>6</v>
      </c>
      <c r="C11" s="247" t="s">
        <v>90</v>
      </c>
      <c r="D11" s="248"/>
      <c r="E11" s="249"/>
    </row>
    <row r="12" spans="1:5" x14ac:dyDescent="0.3">
      <c r="A12" s="3"/>
      <c r="B12" s="412" t="s">
        <v>4</v>
      </c>
      <c r="C12" s="412"/>
      <c r="D12" s="412"/>
      <c r="E12" s="10"/>
    </row>
    <row r="13" spans="1:5" x14ac:dyDescent="0.3">
      <c r="A13" s="3"/>
      <c r="B13" s="2"/>
      <c r="D13" s="22"/>
    </row>
    <row r="14" spans="1:5" ht="40.799999999999997" x14ac:dyDescent="0.3">
      <c r="A14" s="3">
        <v>4</v>
      </c>
      <c r="B14" s="54" t="s">
        <v>7</v>
      </c>
      <c r="C14" s="5" t="s">
        <v>171</v>
      </c>
      <c r="D14" s="22"/>
    </row>
    <row r="15" spans="1:5" x14ac:dyDescent="0.3">
      <c r="A15" s="3"/>
      <c r="B15" s="253" t="s">
        <v>8</v>
      </c>
      <c r="C15" s="411"/>
      <c r="D15" s="22"/>
    </row>
    <row r="16" spans="1:5" x14ac:dyDescent="0.3">
      <c r="A16" s="3"/>
      <c r="D16" s="22"/>
    </row>
    <row r="17" spans="1:14" ht="46.5" customHeight="1" x14ac:dyDescent="0.3">
      <c r="A17" s="3">
        <v>5</v>
      </c>
      <c r="B17" s="406" t="s">
        <v>9</v>
      </c>
      <c r="C17" s="295"/>
      <c r="D17" s="295"/>
      <c r="E17" s="295"/>
      <c r="F17" s="2"/>
      <c r="G17" s="2"/>
      <c r="H17" s="2"/>
      <c r="I17" s="2"/>
      <c r="J17" s="10"/>
      <c r="K17" s="10"/>
      <c r="L17" s="10"/>
      <c r="M17" s="10"/>
      <c r="N17" s="10"/>
    </row>
    <row r="18" spans="1:14" x14ac:dyDescent="0.3">
      <c r="A18" s="3"/>
      <c r="B18" s="65" t="s">
        <v>10</v>
      </c>
      <c r="C18" s="414" t="s">
        <v>11</v>
      </c>
      <c r="D18" s="414"/>
      <c r="E18" s="414"/>
      <c r="F18" s="66"/>
      <c r="G18" s="10"/>
      <c r="H18" s="10"/>
      <c r="I18" s="10"/>
      <c r="J18" s="10"/>
      <c r="K18" s="10"/>
      <c r="L18" s="10"/>
      <c r="M18" s="10"/>
      <c r="N18" s="10"/>
    </row>
    <row r="19" spans="1:14" ht="61.2" x14ac:dyDescent="0.3">
      <c r="A19" s="3"/>
      <c r="B19" s="65" t="s">
        <v>97</v>
      </c>
      <c r="C19" s="415">
        <v>1.32E-2</v>
      </c>
      <c r="D19" s="416"/>
      <c r="E19" s="417"/>
      <c r="F19" s="66"/>
      <c r="G19" s="10"/>
      <c r="I19" s="10"/>
      <c r="J19" s="10"/>
      <c r="K19" s="10"/>
      <c r="L19" s="10"/>
      <c r="M19" s="10"/>
      <c r="N19" s="10"/>
    </row>
    <row r="20" spans="1:14" x14ac:dyDescent="0.3">
      <c r="A20" s="3"/>
      <c r="B20" s="65" t="s">
        <v>12</v>
      </c>
      <c r="C20" s="415">
        <v>1.43E-2</v>
      </c>
      <c r="D20" s="416"/>
      <c r="E20" s="417"/>
      <c r="F20" s="66"/>
      <c r="G20" s="10"/>
      <c r="H20" s="10"/>
      <c r="I20" s="10"/>
      <c r="J20" s="10"/>
      <c r="K20" s="10"/>
      <c r="L20" s="10"/>
      <c r="M20" s="10"/>
      <c r="N20" s="10"/>
    </row>
    <row r="21" spans="1:14" x14ac:dyDescent="0.3">
      <c r="A21" s="3"/>
      <c r="B21" s="65" t="s">
        <v>13</v>
      </c>
      <c r="C21" s="418">
        <v>1.55E-2</v>
      </c>
      <c r="D21" s="408"/>
      <c r="E21" s="408"/>
      <c r="F21" s="66"/>
      <c r="G21" s="10"/>
      <c r="H21" s="10"/>
      <c r="I21" s="10"/>
      <c r="J21" s="10"/>
      <c r="K21" s="10"/>
      <c r="L21" s="10"/>
      <c r="M21" s="10"/>
      <c r="N21" s="10"/>
    </row>
    <row r="22" spans="1:14" x14ac:dyDescent="0.3">
      <c r="A22" s="3"/>
      <c r="B22" s="64" t="s">
        <v>14</v>
      </c>
      <c r="C22" s="418">
        <v>1.5699999999999999E-2</v>
      </c>
      <c r="D22" s="408"/>
      <c r="E22" s="408"/>
      <c r="F22" s="66"/>
      <c r="G22" s="10"/>
      <c r="H22" s="10"/>
      <c r="I22" s="10"/>
      <c r="J22" s="10"/>
      <c r="K22" s="10"/>
      <c r="L22" s="10"/>
      <c r="M22" s="10"/>
      <c r="N22" s="10"/>
    </row>
    <row r="23" spans="1:14" x14ac:dyDescent="0.3">
      <c r="A23" s="3"/>
      <c r="B23" s="412" t="s">
        <v>172</v>
      </c>
      <c r="C23" s="412"/>
      <c r="D23" s="412"/>
      <c r="E23" s="412"/>
      <c r="F23" s="66"/>
      <c r="G23" s="10"/>
      <c r="H23" s="10"/>
      <c r="I23" s="10"/>
      <c r="J23" s="10"/>
      <c r="K23" s="10"/>
      <c r="L23" s="10"/>
      <c r="M23" s="10"/>
      <c r="N23" s="10"/>
    </row>
    <row r="24" spans="1:14" x14ac:dyDescent="0.3">
      <c r="A24" s="3"/>
      <c r="C24" s="10"/>
      <c r="D24" s="10"/>
      <c r="E24" s="10"/>
      <c r="F24" s="66"/>
      <c r="G24" s="10"/>
      <c r="H24" s="10"/>
      <c r="I24" s="10"/>
      <c r="J24" s="10"/>
      <c r="K24" s="10"/>
      <c r="L24" s="10"/>
      <c r="M24" s="10"/>
      <c r="N24" s="10"/>
    </row>
    <row r="25" spans="1:14" x14ac:dyDescent="0.3">
      <c r="A25" s="3"/>
      <c r="B25" s="66"/>
      <c r="C25" s="66"/>
      <c r="D25" s="66"/>
      <c r="E25" s="66"/>
      <c r="F25" s="66"/>
      <c r="G25" s="10"/>
      <c r="H25" s="10"/>
      <c r="I25" s="10"/>
      <c r="J25" s="10"/>
      <c r="K25" s="10"/>
      <c r="L25" s="10"/>
      <c r="M25" s="10"/>
      <c r="N25" s="10"/>
    </row>
    <row r="26" spans="1:14" ht="24.75" customHeight="1" x14ac:dyDescent="0.3">
      <c r="A26" s="3">
        <v>6</v>
      </c>
      <c r="B26" s="406" t="s">
        <v>16</v>
      </c>
      <c r="C26" s="406"/>
      <c r="D26" s="406"/>
      <c r="E26" s="406"/>
      <c r="F26" s="2"/>
      <c r="G26" s="2"/>
      <c r="H26" s="10"/>
      <c r="I26" s="2"/>
      <c r="J26" s="2"/>
    </row>
    <row r="27" spans="1:14" x14ac:dyDescent="0.3">
      <c r="A27" s="3"/>
      <c r="B27" s="264" t="s">
        <v>17</v>
      </c>
      <c r="C27" s="265"/>
      <c r="D27" s="265"/>
      <c r="E27" s="266"/>
      <c r="F27" s="66"/>
    </row>
    <row r="28" spans="1:14" x14ac:dyDescent="0.3">
      <c r="A28" s="3"/>
      <c r="B28" s="67" t="s">
        <v>18</v>
      </c>
      <c r="C28" s="25" t="s">
        <v>106</v>
      </c>
      <c r="D28" s="25" t="s">
        <v>107</v>
      </c>
      <c r="E28" s="25" t="s">
        <v>230</v>
      </c>
      <c r="F28" s="66"/>
    </row>
    <row r="29" spans="1:14" ht="22.5" customHeight="1" x14ac:dyDescent="0.3">
      <c r="A29" s="3"/>
      <c r="B29" s="68" t="s">
        <v>155</v>
      </c>
      <c r="C29" s="1">
        <v>33726.51</v>
      </c>
      <c r="D29" s="5">
        <v>53108.41</v>
      </c>
      <c r="E29" s="175">
        <v>69720.070000000007</v>
      </c>
      <c r="F29" s="66"/>
    </row>
    <row r="30" spans="1:14" x14ac:dyDescent="0.3">
      <c r="A30" s="3"/>
      <c r="B30" s="68" t="s">
        <v>23</v>
      </c>
      <c r="C30" s="86">
        <v>776.71</v>
      </c>
      <c r="D30" s="5">
        <v>1012.73</v>
      </c>
      <c r="E30" s="125" t="s">
        <v>636</v>
      </c>
      <c r="F30" s="66"/>
    </row>
    <row r="31" spans="1:14" x14ac:dyDescent="0.3">
      <c r="A31" s="3"/>
      <c r="B31" s="68" t="s">
        <v>24</v>
      </c>
      <c r="C31" s="86">
        <v>308.95</v>
      </c>
      <c r="D31" s="5">
        <v>2633.88</v>
      </c>
      <c r="E31" s="175">
        <v>2948.88</v>
      </c>
      <c r="F31" s="66"/>
    </row>
    <row r="32" spans="1:14" ht="42" x14ac:dyDescent="0.3">
      <c r="A32" s="3"/>
      <c r="B32" s="68" t="s">
        <v>25</v>
      </c>
      <c r="C32" s="86">
        <v>2090.27</v>
      </c>
      <c r="D32" s="5">
        <v>16312.32</v>
      </c>
      <c r="E32" s="200">
        <v>25238.25</v>
      </c>
      <c r="F32" s="66"/>
    </row>
    <row r="33" spans="1:10" x14ac:dyDescent="0.3">
      <c r="A33" s="3"/>
      <c r="B33" s="253" t="s">
        <v>192</v>
      </c>
      <c r="C33" s="270"/>
      <c r="D33" s="270"/>
      <c r="E33" s="254"/>
      <c r="F33" s="66"/>
    </row>
    <row r="34" spans="1:10" x14ac:dyDescent="0.3">
      <c r="A34" s="3"/>
      <c r="B34" s="10"/>
      <c r="C34" s="66"/>
      <c r="D34" s="66"/>
      <c r="E34" s="66"/>
      <c r="F34" s="66"/>
    </row>
    <row r="35" spans="1:10" ht="49.5" customHeight="1" x14ac:dyDescent="0.3">
      <c r="A35" s="3">
        <v>7</v>
      </c>
      <c r="B35" s="406" t="s">
        <v>26</v>
      </c>
      <c r="C35" s="406"/>
      <c r="D35" s="406"/>
      <c r="E35" s="406"/>
      <c r="F35" s="2"/>
      <c r="G35" s="2"/>
      <c r="H35" s="2"/>
      <c r="I35" s="2"/>
      <c r="J35" s="2"/>
    </row>
    <row r="36" spans="1:10" x14ac:dyDescent="0.3">
      <c r="A36" s="3"/>
      <c r="B36" s="67" t="s">
        <v>27</v>
      </c>
      <c r="C36" s="413" t="s">
        <v>93</v>
      </c>
      <c r="D36" s="413"/>
      <c r="E36" s="413"/>
      <c r="F36" s="10"/>
    </row>
    <row r="37" spans="1:10" x14ac:dyDescent="0.3">
      <c r="A37" s="3"/>
      <c r="B37" s="67" t="s">
        <v>28</v>
      </c>
      <c r="C37" s="413" t="s">
        <v>93</v>
      </c>
      <c r="D37" s="413"/>
      <c r="E37" s="413"/>
      <c r="F37" s="10"/>
    </row>
    <row r="38" spans="1:10" x14ac:dyDescent="0.3">
      <c r="A38" s="3"/>
      <c r="B38" s="67" t="s">
        <v>29</v>
      </c>
      <c r="C38" s="409" t="s">
        <v>93</v>
      </c>
      <c r="D38" s="409"/>
      <c r="E38" s="409"/>
      <c r="F38" s="10"/>
    </row>
    <row r="39" spans="1:10" x14ac:dyDescent="0.3">
      <c r="A39" s="3"/>
      <c r="B39" s="407"/>
      <c r="C39" s="407"/>
      <c r="D39" s="10"/>
      <c r="E39" s="10"/>
      <c r="F39" s="10"/>
    </row>
    <row r="40" spans="1:10" x14ac:dyDescent="0.3">
      <c r="A40" s="3"/>
      <c r="C40" s="10"/>
      <c r="D40" s="10"/>
      <c r="E40" s="10"/>
      <c r="F40" s="10"/>
    </row>
    <row r="41" spans="1:10" x14ac:dyDescent="0.3">
      <c r="A41" s="3"/>
      <c r="B41" s="66"/>
      <c r="C41" s="10"/>
      <c r="D41" s="10"/>
      <c r="E41" s="10"/>
      <c r="F41" s="10"/>
    </row>
    <row r="42" spans="1:10" ht="46.2" customHeight="1" x14ac:dyDescent="0.3">
      <c r="A42" s="3">
        <v>8</v>
      </c>
      <c r="B42" s="406" t="s">
        <v>30</v>
      </c>
      <c r="C42" s="406"/>
      <c r="D42" s="406"/>
      <c r="E42" s="406"/>
      <c r="F42" s="2"/>
      <c r="G42" s="2"/>
      <c r="H42" s="2"/>
      <c r="I42" s="2"/>
      <c r="J42" s="2"/>
    </row>
    <row r="43" spans="1:10" ht="113.4" customHeight="1" x14ac:dyDescent="0.3">
      <c r="A43" s="3"/>
      <c r="B43" s="67" t="s">
        <v>31</v>
      </c>
      <c r="C43" s="408" t="s">
        <v>173</v>
      </c>
      <c r="D43" s="408"/>
      <c r="E43" s="408"/>
      <c r="F43" s="10"/>
    </row>
    <row r="44" spans="1:10" ht="88.5" customHeight="1" x14ac:dyDescent="0.3">
      <c r="A44" s="3"/>
      <c r="B44" s="67" t="s">
        <v>28</v>
      </c>
      <c r="C44" s="408" t="s">
        <v>549</v>
      </c>
      <c r="D44" s="408"/>
      <c r="E44" s="408"/>
      <c r="F44" s="10"/>
    </row>
    <row r="45" spans="1:10" ht="72.75" customHeight="1" x14ac:dyDescent="0.3">
      <c r="A45" s="3"/>
      <c r="B45" s="67" t="s">
        <v>29</v>
      </c>
      <c r="C45" s="408" t="s">
        <v>703</v>
      </c>
      <c r="D45" s="408"/>
      <c r="E45" s="408"/>
      <c r="F45" s="10"/>
    </row>
    <row r="46" spans="1:10" x14ac:dyDescent="0.3">
      <c r="A46" s="3"/>
      <c r="B46" s="253"/>
      <c r="C46" s="270"/>
      <c r="D46" s="270"/>
      <c r="E46" s="254"/>
      <c r="F46" s="10"/>
    </row>
    <row r="47" spans="1:10" x14ac:dyDescent="0.3">
      <c r="A47" s="3"/>
      <c r="D47" s="22"/>
      <c r="E47" s="10"/>
    </row>
    <row r="48" spans="1:10" ht="39.75" customHeight="1" x14ac:dyDescent="0.3">
      <c r="A48" s="191">
        <v>9</v>
      </c>
      <c r="B48" s="263" t="s">
        <v>32</v>
      </c>
      <c r="C48" s="406"/>
      <c r="D48" s="406"/>
      <c r="E48" s="406"/>
      <c r="F48" s="2"/>
      <c r="G48" s="2"/>
      <c r="H48" s="2"/>
      <c r="I48" s="2"/>
    </row>
    <row r="49" spans="1:14" ht="81.599999999999994" x14ac:dyDescent="0.3">
      <c r="A49" s="191"/>
      <c r="B49" s="24" t="s">
        <v>33</v>
      </c>
      <c r="C49" s="25" t="s">
        <v>34</v>
      </c>
      <c r="D49" s="25" t="s">
        <v>65</v>
      </c>
      <c r="E49" s="25" t="s">
        <v>35</v>
      </c>
    </row>
    <row r="50" spans="1:14" ht="109.2" customHeight="1" x14ac:dyDescent="0.3">
      <c r="A50" s="191"/>
      <c r="B50" s="189" t="s">
        <v>174</v>
      </c>
      <c r="C50" s="27" t="s">
        <v>175</v>
      </c>
      <c r="D50" s="27" t="s">
        <v>738</v>
      </c>
      <c r="E50" s="201" t="s">
        <v>121</v>
      </c>
      <c r="F50" s="61"/>
    </row>
    <row r="51" spans="1:14" ht="51" customHeight="1" x14ac:dyDescent="0.3">
      <c r="A51" s="191"/>
      <c r="B51" s="410"/>
      <c r="C51" s="410"/>
      <c r="D51" s="410"/>
      <c r="E51" s="411"/>
      <c r="F51" s="60"/>
    </row>
    <row r="52" spans="1:14" x14ac:dyDescent="0.3">
      <c r="A52" s="191"/>
      <c r="B52" s="28"/>
      <c r="C52" s="22"/>
      <c r="D52" s="22"/>
      <c r="E52" s="22"/>
      <c r="F52" s="66"/>
      <c r="G52" s="66"/>
      <c r="H52" s="66"/>
      <c r="I52" s="66"/>
    </row>
    <row r="53" spans="1:14" ht="42.75" customHeight="1" x14ac:dyDescent="0.3">
      <c r="A53" s="191">
        <v>10</v>
      </c>
      <c r="B53" s="263" t="s">
        <v>73</v>
      </c>
      <c r="C53" s="406"/>
      <c r="D53" s="406"/>
      <c r="E53" s="406"/>
      <c r="F53" s="66"/>
      <c r="G53" s="66"/>
      <c r="H53" s="66"/>
    </row>
    <row r="54" spans="1:14" ht="14.25" customHeight="1" x14ac:dyDescent="0.3">
      <c r="A54" s="191"/>
      <c r="B54" s="275" t="s">
        <v>36</v>
      </c>
      <c r="C54" s="345" t="s">
        <v>176</v>
      </c>
      <c r="D54" s="346"/>
      <c r="E54" s="347"/>
      <c r="K54" s="2"/>
    </row>
    <row r="55" spans="1:14" ht="66" customHeight="1" x14ac:dyDescent="0.3">
      <c r="A55" s="191"/>
      <c r="B55" s="344"/>
      <c r="C55" s="348"/>
      <c r="D55" s="349"/>
      <c r="E55" s="350"/>
      <c r="K55" s="2"/>
    </row>
    <row r="56" spans="1:14" ht="93.75" customHeight="1" x14ac:dyDescent="0.3">
      <c r="A56" s="191"/>
      <c r="B56" s="29" t="s">
        <v>37</v>
      </c>
      <c r="C56" s="353" t="s">
        <v>739</v>
      </c>
      <c r="D56" s="353"/>
      <c r="E56" s="353"/>
    </row>
    <row r="57" spans="1:14" x14ac:dyDescent="0.3">
      <c r="A57" s="191"/>
      <c r="B57" s="29" t="s">
        <v>38</v>
      </c>
      <c r="C57" s="404" t="s">
        <v>121</v>
      </c>
      <c r="D57" s="404"/>
      <c r="E57" s="404"/>
      <c r="K57" s="30"/>
    </row>
    <row r="58" spans="1:14" s="32" customFormat="1" x14ac:dyDescent="0.4">
      <c r="A58" s="111" t="s">
        <v>39</v>
      </c>
      <c r="B58" s="291" t="s">
        <v>737</v>
      </c>
      <c r="C58" s="351"/>
      <c r="D58" s="351"/>
      <c r="E58" s="351"/>
    </row>
    <row r="59" spans="1:14" x14ac:dyDescent="0.3">
      <c r="A59" s="71"/>
      <c r="B59" s="72"/>
      <c r="C59" s="73"/>
      <c r="D59" s="73"/>
      <c r="E59" s="73"/>
      <c r="F59" s="73"/>
    </row>
    <row r="60" spans="1:14" x14ac:dyDescent="0.3">
      <c r="A60" s="3">
        <v>11</v>
      </c>
      <c r="B60" s="54" t="s">
        <v>41</v>
      </c>
      <c r="C60" s="300" t="s">
        <v>89</v>
      </c>
      <c r="D60" s="300"/>
      <c r="E60" s="300"/>
      <c r="F60" s="2"/>
      <c r="G60" s="2"/>
      <c r="H60" s="74"/>
      <c r="I60" s="2"/>
      <c r="J60" s="2"/>
    </row>
    <row r="61" spans="1:14" x14ac:dyDescent="0.3">
      <c r="A61" s="3"/>
      <c r="B61" s="66"/>
      <c r="C61" s="66"/>
      <c r="D61" s="66"/>
      <c r="E61" s="66"/>
      <c r="F61" s="66"/>
      <c r="G61" s="66"/>
      <c r="H61" s="75"/>
      <c r="I61" s="75"/>
      <c r="J61" s="66"/>
    </row>
    <row r="62" spans="1:14" x14ac:dyDescent="0.3">
      <c r="A62" s="3"/>
      <c r="B62" s="66"/>
      <c r="C62" s="66"/>
      <c r="D62" s="66"/>
      <c r="E62" s="66"/>
      <c r="F62" s="66"/>
      <c r="G62" s="66"/>
      <c r="H62" s="75"/>
      <c r="I62" s="75"/>
      <c r="J62" s="66"/>
    </row>
    <row r="63" spans="1:14" s="42" customFormat="1" x14ac:dyDescent="0.3">
      <c r="A63" s="76">
        <v>12</v>
      </c>
      <c r="B63" s="77" t="s">
        <v>42</v>
      </c>
      <c r="C63" s="405"/>
      <c r="D63" s="405"/>
      <c r="E63" s="405"/>
      <c r="F63" s="78"/>
      <c r="G63" s="79"/>
      <c r="H63" s="79"/>
      <c r="I63" s="79"/>
      <c r="J63" s="79"/>
      <c r="K63" s="79"/>
      <c r="L63" s="79"/>
      <c r="M63" s="79"/>
      <c r="N63" s="79"/>
    </row>
    <row r="64" spans="1:14" x14ac:dyDescent="0.3">
      <c r="A64" s="3"/>
      <c r="B64" s="2"/>
      <c r="C64" s="2"/>
      <c r="D64" s="2"/>
      <c r="E64" s="74"/>
      <c r="F64" s="74"/>
      <c r="G64" s="74"/>
      <c r="H64" s="2"/>
      <c r="I64" s="2"/>
      <c r="J64" s="2"/>
      <c r="K64" s="2"/>
      <c r="L64" s="2"/>
      <c r="M64" s="2"/>
      <c r="N64" s="2"/>
    </row>
    <row r="65" spans="1:14" x14ac:dyDescent="0.3">
      <c r="A65" s="3"/>
      <c r="B65" s="67" t="s">
        <v>43</v>
      </c>
      <c r="C65" s="68" t="s">
        <v>177</v>
      </c>
      <c r="D65" s="66"/>
      <c r="E65" s="66"/>
      <c r="F65" s="75"/>
      <c r="G65" s="75"/>
      <c r="H65" s="66"/>
      <c r="I65" s="66"/>
      <c r="J65" s="66"/>
      <c r="K65" s="66"/>
      <c r="L65" s="66"/>
      <c r="M65" s="66"/>
      <c r="N65" s="66"/>
    </row>
    <row r="66" spans="1:14" x14ac:dyDescent="0.3">
      <c r="A66" s="3"/>
      <c r="B66" s="66"/>
      <c r="C66" s="66"/>
      <c r="D66" s="66"/>
      <c r="E66" s="66"/>
      <c r="F66" s="66"/>
      <c r="G66" s="66"/>
      <c r="H66" s="66"/>
      <c r="I66" s="66"/>
      <c r="J66" s="66"/>
      <c r="K66" s="66"/>
      <c r="L66" s="66"/>
      <c r="M66" s="66"/>
      <c r="N66" s="66"/>
    </row>
    <row r="67" spans="1:14" ht="80.25" customHeight="1" x14ac:dyDescent="0.3">
      <c r="A67" s="3"/>
      <c r="B67" s="406" t="s">
        <v>44</v>
      </c>
      <c r="C67" s="295" t="s">
        <v>178</v>
      </c>
      <c r="D67" s="295" t="s">
        <v>68</v>
      </c>
      <c r="E67" s="297" t="s">
        <v>45</v>
      </c>
      <c r="F67" s="292" t="s">
        <v>98</v>
      </c>
      <c r="G67" s="293"/>
      <c r="H67" s="294"/>
      <c r="I67" s="292" t="s">
        <v>122</v>
      </c>
      <c r="J67" s="293"/>
      <c r="K67" s="294"/>
      <c r="L67" s="310" t="s">
        <v>123</v>
      </c>
      <c r="M67" s="310"/>
      <c r="N67" s="310"/>
    </row>
    <row r="68" spans="1:14" ht="102" customHeight="1" x14ac:dyDescent="0.3">
      <c r="A68" s="3"/>
      <c r="B68" s="406"/>
      <c r="C68" s="296"/>
      <c r="D68" s="296"/>
      <c r="E68" s="298"/>
      <c r="F68" s="67" t="s">
        <v>46</v>
      </c>
      <c r="G68" s="67" t="s">
        <v>47</v>
      </c>
      <c r="H68" s="67" t="s">
        <v>48</v>
      </c>
      <c r="I68" s="67" t="s">
        <v>49</v>
      </c>
      <c r="J68" s="67" t="s">
        <v>47</v>
      </c>
      <c r="K68" s="67" t="s">
        <v>48</v>
      </c>
      <c r="L68" s="67" t="s">
        <v>49</v>
      </c>
      <c r="M68" s="67" t="s">
        <v>47</v>
      </c>
      <c r="N68" s="67" t="s">
        <v>48</v>
      </c>
    </row>
    <row r="69" spans="1:14" ht="105" customHeight="1" x14ac:dyDescent="0.3">
      <c r="A69" s="3"/>
      <c r="B69" s="67" t="s">
        <v>112</v>
      </c>
      <c r="C69" s="81">
        <v>115.4</v>
      </c>
      <c r="D69" s="1">
        <v>158.9</v>
      </c>
      <c r="E69" s="82">
        <v>137.5</v>
      </c>
      <c r="F69" s="82">
        <v>165.05</v>
      </c>
      <c r="G69" s="82">
        <v>186</v>
      </c>
      <c r="H69" s="82">
        <v>110.2</v>
      </c>
      <c r="I69" s="121">
        <v>211.3</v>
      </c>
      <c r="J69" s="121">
        <v>339</v>
      </c>
      <c r="K69" s="121">
        <v>161.1</v>
      </c>
      <c r="L69" s="168">
        <v>557.5</v>
      </c>
      <c r="M69" s="121">
        <v>690</v>
      </c>
      <c r="N69" s="121">
        <v>216</v>
      </c>
    </row>
    <row r="70" spans="1:14" ht="40.799999999999997" x14ac:dyDescent="0.3">
      <c r="A70" s="3"/>
      <c r="B70" s="69" t="s">
        <v>113</v>
      </c>
      <c r="C70" s="82">
        <v>59934.01</v>
      </c>
      <c r="D70" s="81">
        <v>57919.97</v>
      </c>
      <c r="E70" s="82">
        <v>62533.3</v>
      </c>
      <c r="F70" s="44">
        <v>58991.519999999997</v>
      </c>
      <c r="G70" s="44">
        <v>63583.07</v>
      </c>
      <c r="H70" s="44">
        <v>50921.22</v>
      </c>
      <c r="I70" s="43">
        <v>58991.519999999997</v>
      </c>
      <c r="J70" s="43">
        <v>63583.07</v>
      </c>
      <c r="K70" s="43">
        <v>50921.22</v>
      </c>
      <c r="L70" s="51">
        <v>77414.92</v>
      </c>
      <c r="M70" s="51">
        <v>85978.25</v>
      </c>
      <c r="N70" s="51">
        <v>70234.429999999993</v>
      </c>
    </row>
    <row r="71" spans="1:14" x14ac:dyDescent="0.3">
      <c r="A71" s="3"/>
      <c r="B71" s="403" t="s">
        <v>179</v>
      </c>
      <c r="C71" s="403"/>
      <c r="D71" s="403"/>
      <c r="E71" s="403"/>
      <c r="F71" s="403"/>
      <c r="G71" s="403"/>
      <c r="H71" s="403"/>
      <c r="I71" s="403"/>
      <c r="J71" s="403"/>
      <c r="K71" s="403"/>
      <c r="L71" s="403"/>
      <c r="M71" s="403"/>
      <c r="N71" s="403"/>
    </row>
    <row r="72" spans="1:14" ht="20.25" customHeight="1" x14ac:dyDescent="0.3">
      <c r="A72" s="3"/>
      <c r="B72" s="403" t="s">
        <v>180</v>
      </c>
      <c r="C72" s="403"/>
      <c r="D72" s="403"/>
      <c r="E72" s="403"/>
      <c r="F72" s="403"/>
      <c r="G72" s="83"/>
      <c r="H72" s="83"/>
      <c r="I72" s="83"/>
      <c r="J72" s="83"/>
      <c r="K72" s="83"/>
      <c r="L72" s="83"/>
      <c r="M72" s="83"/>
      <c r="N72" s="83"/>
    </row>
    <row r="73" spans="1:14" ht="42" customHeight="1" x14ac:dyDescent="0.3">
      <c r="A73" s="3"/>
      <c r="B73" s="364" t="s">
        <v>755</v>
      </c>
      <c r="C73" s="364"/>
      <c r="D73" s="364"/>
      <c r="E73" s="364"/>
      <c r="F73" s="364"/>
      <c r="G73" s="83"/>
      <c r="H73" s="83"/>
      <c r="I73" s="83"/>
      <c r="J73" s="83"/>
      <c r="K73" s="83"/>
      <c r="L73" s="83"/>
      <c r="M73" s="83"/>
      <c r="N73" s="83"/>
    </row>
    <row r="74" spans="1:14" x14ac:dyDescent="0.3">
      <c r="A74" s="3"/>
      <c r="B74" s="253" t="s">
        <v>71</v>
      </c>
      <c r="C74" s="270"/>
      <c r="D74" s="270"/>
      <c r="E74" s="270"/>
      <c r="F74" s="254"/>
      <c r="G74" s="83"/>
      <c r="H74" s="83"/>
      <c r="I74" s="83"/>
      <c r="J74" s="83"/>
      <c r="K74" s="83"/>
      <c r="L74" s="83"/>
      <c r="M74" s="83"/>
      <c r="N74" s="83"/>
    </row>
    <row r="75" spans="1:14" x14ac:dyDescent="0.3">
      <c r="A75" s="3"/>
      <c r="B75" s="84"/>
      <c r="C75" s="84"/>
      <c r="D75" s="84"/>
      <c r="E75" s="84"/>
      <c r="F75" s="84"/>
      <c r="G75" s="10"/>
      <c r="H75" s="10"/>
      <c r="I75" s="10"/>
      <c r="J75" s="10"/>
      <c r="K75" s="10"/>
      <c r="L75" s="10"/>
      <c r="M75" s="10"/>
      <c r="N75" s="10"/>
    </row>
    <row r="76" spans="1:14" ht="45.75" customHeight="1" x14ac:dyDescent="0.3">
      <c r="A76" s="3">
        <v>13</v>
      </c>
      <c r="B76" s="261" t="s">
        <v>51</v>
      </c>
      <c r="C76" s="262"/>
      <c r="D76" s="262"/>
      <c r="E76" s="262"/>
      <c r="F76" s="262"/>
      <c r="G76" s="263"/>
      <c r="H76" s="2"/>
      <c r="I76" s="2"/>
      <c r="J76" s="2"/>
      <c r="K76" s="2"/>
      <c r="L76" s="2"/>
      <c r="M76" s="2"/>
      <c r="N76" s="2"/>
    </row>
    <row r="77" spans="1:14" x14ac:dyDescent="0.3">
      <c r="A77" s="3"/>
      <c r="C77" s="66"/>
      <c r="D77" s="66"/>
      <c r="E77" s="66"/>
      <c r="F77" s="66"/>
      <c r="G77" s="66"/>
      <c r="H77" s="66"/>
      <c r="I77" s="66"/>
      <c r="J77" s="66"/>
      <c r="K77" s="66"/>
      <c r="L77" s="66"/>
      <c r="M77" s="66"/>
      <c r="N77" s="66"/>
    </row>
    <row r="78" spans="1:14" ht="108" customHeight="1" x14ac:dyDescent="0.3">
      <c r="A78" s="3"/>
      <c r="B78" s="25" t="s">
        <v>52</v>
      </c>
      <c r="C78" s="25" t="s">
        <v>53</v>
      </c>
      <c r="D78" s="25" t="s">
        <v>80</v>
      </c>
      <c r="E78" s="25" t="s">
        <v>54</v>
      </c>
      <c r="F78" s="25" t="s">
        <v>55</v>
      </c>
      <c r="G78" s="25" t="s">
        <v>56</v>
      </c>
      <c r="H78" s="10"/>
      <c r="I78" s="10"/>
      <c r="J78" s="10"/>
      <c r="K78" s="10"/>
      <c r="L78" s="10"/>
      <c r="M78" s="10"/>
      <c r="N78" s="10"/>
    </row>
    <row r="79" spans="1:14" ht="20.25" customHeight="1" x14ac:dyDescent="0.4">
      <c r="A79" s="3"/>
      <c r="B79" s="297" t="s">
        <v>72</v>
      </c>
      <c r="C79" s="54" t="s">
        <v>642</v>
      </c>
      <c r="D79" s="48">
        <v>3.11</v>
      </c>
      <c r="E79" s="48">
        <v>4.28</v>
      </c>
      <c r="F79" s="132">
        <v>4.38</v>
      </c>
      <c r="G79" s="132">
        <v>5.31</v>
      </c>
    </row>
    <row r="80" spans="1:14" ht="20.25" customHeight="1" x14ac:dyDescent="0.4">
      <c r="A80" s="3"/>
      <c r="B80" s="309"/>
      <c r="C80" s="54" t="s">
        <v>184</v>
      </c>
      <c r="D80" s="48"/>
      <c r="E80" s="48"/>
      <c r="F80" s="132"/>
      <c r="G80" s="132"/>
    </row>
    <row r="81" spans="1:18" ht="20.25" customHeight="1" x14ac:dyDescent="0.4">
      <c r="A81" s="3"/>
      <c r="B81" s="309"/>
      <c r="C81" s="5" t="s">
        <v>643</v>
      </c>
      <c r="D81" s="48">
        <v>32.31</v>
      </c>
      <c r="E81" s="48">
        <v>42.93</v>
      </c>
      <c r="F81" s="132">
        <v>62.84</v>
      </c>
      <c r="G81" s="132">
        <v>205.7</v>
      </c>
    </row>
    <row r="82" spans="1:18" ht="20.25" customHeight="1" x14ac:dyDescent="0.4">
      <c r="A82" s="3"/>
      <c r="B82" s="309"/>
      <c r="C82" s="5" t="s">
        <v>187</v>
      </c>
      <c r="D82" s="48">
        <v>32.409999999999997</v>
      </c>
      <c r="E82" s="48">
        <v>46.66</v>
      </c>
      <c r="F82" s="132">
        <v>39.44</v>
      </c>
      <c r="G82" s="132">
        <v>72.010000000000005</v>
      </c>
    </row>
    <row r="83" spans="1:18" ht="20.25" customHeight="1" x14ac:dyDescent="0.35">
      <c r="A83" s="3"/>
      <c r="B83" s="298"/>
      <c r="C83" s="54" t="s">
        <v>165</v>
      </c>
      <c r="D83" s="106">
        <f>AVERAGE((D81:D82))</f>
        <v>32.36</v>
      </c>
      <c r="E83" s="101">
        <f>AVERAGE((E81:E82))</f>
        <v>44.795000000000002</v>
      </c>
      <c r="F83" s="133">
        <f xml:space="preserve"> AVERAGE(F81:F82)</f>
        <v>51.14</v>
      </c>
      <c r="G83" s="132">
        <f>AVERAGE(G81:G82)</f>
        <v>138.85499999999999</v>
      </c>
      <c r="P83" s="170" t="s">
        <v>635</v>
      </c>
    </row>
    <row r="84" spans="1:18" ht="66.75" customHeight="1" x14ac:dyDescent="0.4">
      <c r="A84" s="3"/>
      <c r="B84" s="297" t="s">
        <v>59</v>
      </c>
      <c r="C84" s="54" t="s">
        <v>181</v>
      </c>
      <c r="D84" s="53">
        <v>18.010000000000002</v>
      </c>
      <c r="E84" s="53">
        <v>38.6</v>
      </c>
      <c r="F84" s="132">
        <v>48.24</v>
      </c>
      <c r="G84" s="85">
        <f>P84/G79</f>
        <v>104.99058380414313</v>
      </c>
      <c r="P84" s="1">
        <v>557.5</v>
      </c>
    </row>
    <row r="85" spans="1:18" x14ac:dyDescent="0.4">
      <c r="A85" s="3"/>
      <c r="B85" s="309"/>
      <c r="C85" s="54" t="s">
        <v>184</v>
      </c>
      <c r="D85" s="53"/>
      <c r="E85" s="53"/>
      <c r="F85" s="132"/>
      <c r="G85" s="85"/>
    </row>
    <row r="86" spans="1:18" x14ac:dyDescent="0.4">
      <c r="A86" s="3"/>
      <c r="B86" s="309"/>
      <c r="C86" s="5" t="s">
        <v>182</v>
      </c>
      <c r="D86" s="53">
        <v>126.6</v>
      </c>
      <c r="E86" s="53">
        <v>67.150000000000006</v>
      </c>
      <c r="F86" s="132">
        <v>119.04</v>
      </c>
      <c r="G86" s="85">
        <f>P86/G81</f>
        <v>64.071706368497814</v>
      </c>
      <c r="P86" s="58">
        <v>13179.55</v>
      </c>
    </row>
    <row r="87" spans="1:18" x14ac:dyDescent="0.4">
      <c r="A87" s="3"/>
      <c r="B87" s="309"/>
      <c r="C87" s="5" t="s">
        <v>183</v>
      </c>
      <c r="D87" s="53">
        <v>70.3</v>
      </c>
      <c r="E87" s="53">
        <v>39.049999999999997</v>
      </c>
      <c r="F87" s="132">
        <v>92.66</v>
      </c>
      <c r="G87" s="85">
        <f>P87/G82</f>
        <v>100.11665046521316</v>
      </c>
      <c r="P87" s="58">
        <v>7209.4</v>
      </c>
    </row>
    <row r="88" spans="1:18" ht="26.25" customHeight="1" x14ac:dyDescent="0.35">
      <c r="A88" s="3"/>
      <c r="B88" s="298"/>
      <c r="C88" s="54" t="s">
        <v>165</v>
      </c>
      <c r="D88" s="101">
        <f>AVERAGE((D86:D87))</f>
        <v>98.449999999999989</v>
      </c>
      <c r="E88" s="107">
        <f>AVERAGE((E86:E87))</f>
        <v>53.1</v>
      </c>
      <c r="F88" s="133">
        <v>105.85</v>
      </c>
      <c r="G88" s="85">
        <f>AVERAGE(G86:G87)</f>
        <v>82.094178416855485</v>
      </c>
      <c r="P88" s="1" t="s">
        <v>644</v>
      </c>
      <c r="Q88" s="1" t="s">
        <v>645</v>
      </c>
    </row>
    <row r="89" spans="1:18" x14ac:dyDescent="0.4">
      <c r="A89" s="3"/>
      <c r="B89" s="297" t="s">
        <v>60</v>
      </c>
      <c r="C89" s="54" t="s">
        <v>181</v>
      </c>
      <c r="D89" s="95">
        <v>0.18529999999999999</v>
      </c>
      <c r="E89" s="95">
        <v>8.2900000000000001E-2</v>
      </c>
      <c r="F89" s="109">
        <v>5.33E-2</v>
      </c>
      <c r="G89" s="109">
        <f>P89/Q89</f>
        <v>5.013068020759829E-2</v>
      </c>
      <c r="P89" s="172">
        <v>1413.04</v>
      </c>
      <c r="Q89" s="1">
        <v>28187.13</v>
      </c>
      <c r="R89" s="1">
        <v>2818713000</v>
      </c>
    </row>
    <row r="90" spans="1:18" x14ac:dyDescent="0.4">
      <c r="A90" s="3"/>
      <c r="B90" s="309"/>
      <c r="C90" s="54" t="s">
        <v>184</v>
      </c>
      <c r="D90" s="48"/>
      <c r="E90" s="48"/>
      <c r="F90" s="132"/>
      <c r="G90" s="109"/>
      <c r="P90" s="172"/>
    </row>
    <row r="91" spans="1:18" x14ac:dyDescent="0.4">
      <c r="A91" s="3"/>
      <c r="B91" s="309"/>
      <c r="C91" s="5" t="s">
        <v>182</v>
      </c>
      <c r="D91" s="95">
        <v>0.219</v>
      </c>
      <c r="E91" s="95">
        <v>0.19850000000000001</v>
      </c>
      <c r="F91" s="109">
        <v>0.22120000000000001</v>
      </c>
      <c r="G91" s="109">
        <f>P91/Q91</f>
        <v>0.35527897317349461</v>
      </c>
      <c r="P91" s="172">
        <v>123258</v>
      </c>
      <c r="Q91" s="1">
        <v>346933</v>
      </c>
      <c r="R91" s="1">
        <v>34693300000</v>
      </c>
    </row>
    <row r="92" spans="1:18" x14ac:dyDescent="0.4">
      <c r="A92" s="3"/>
      <c r="B92" s="309"/>
      <c r="C92" s="5" t="s">
        <v>183</v>
      </c>
      <c r="D92" s="95">
        <v>4.4400000000000002E-2</v>
      </c>
      <c r="E92" s="95">
        <v>8.2400000000000001E-2</v>
      </c>
      <c r="F92" s="109">
        <v>6.7500000000000004E-2</v>
      </c>
      <c r="G92" s="109">
        <f>P92/Q92</f>
        <v>0.10870858000030385</v>
      </c>
      <c r="P92" s="173">
        <v>25115.14</v>
      </c>
      <c r="Q92" s="174">
        <v>231031.81</v>
      </c>
      <c r="R92" s="1">
        <v>23103181000</v>
      </c>
    </row>
    <row r="93" spans="1:18" ht="63" x14ac:dyDescent="0.3">
      <c r="A93" s="3"/>
      <c r="B93" s="298"/>
      <c r="C93" s="54" t="s">
        <v>165</v>
      </c>
      <c r="D93" s="213">
        <f>AVERAGE((D91:D92))</f>
        <v>0.13170000000000001</v>
      </c>
      <c r="E93" s="213">
        <f>AVERAGE((E91:E92))</f>
        <v>0.14045000000000002</v>
      </c>
      <c r="F93" s="212">
        <f>AVERAGE(F91:F92)</f>
        <v>0.14435000000000001</v>
      </c>
      <c r="G93" s="109">
        <f>AVERAGE(G91:G92)</f>
        <v>0.23199377658689924</v>
      </c>
      <c r="P93" s="1" t="s">
        <v>646</v>
      </c>
    </row>
    <row r="94" spans="1:18" ht="40.950000000000003" customHeight="1" x14ac:dyDescent="0.4">
      <c r="A94" s="3"/>
      <c r="B94" s="297" t="s">
        <v>61</v>
      </c>
      <c r="C94" s="54" t="s">
        <v>181</v>
      </c>
      <c r="D94" s="48">
        <v>14.19</v>
      </c>
      <c r="E94" s="53">
        <v>51.56</v>
      </c>
      <c r="F94" s="132">
        <v>72.040000000000006</v>
      </c>
      <c r="G94" s="85">
        <f>R89/P94</f>
        <v>95.586026077193623</v>
      </c>
      <c r="P94" s="172">
        <v>29488756</v>
      </c>
    </row>
    <row r="95" spans="1:18" x14ac:dyDescent="0.4">
      <c r="A95" s="3"/>
      <c r="B95" s="309"/>
      <c r="C95" s="54" t="s">
        <v>184</v>
      </c>
      <c r="D95" s="48"/>
      <c r="E95" s="53"/>
      <c r="F95" s="132"/>
      <c r="G95" s="85"/>
    </row>
    <row r="96" spans="1:18" x14ac:dyDescent="0.4">
      <c r="A96" s="3"/>
      <c r="B96" s="309"/>
      <c r="C96" s="5" t="s">
        <v>182</v>
      </c>
      <c r="D96" s="48">
        <v>168.06</v>
      </c>
      <c r="E96" s="53">
        <v>216.23</v>
      </c>
      <c r="F96" s="132">
        <v>283.31</v>
      </c>
      <c r="G96" s="85">
        <f>R91/P96</f>
        <v>575.94966044613875</v>
      </c>
      <c r="P96" s="1">
        <v>60236688</v>
      </c>
    </row>
    <row r="97" spans="1:16" x14ac:dyDescent="0.4">
      <c r="A97" s="3"/>
      <c r="B97" s="309"/>
      <c r="C97" s="5" t="s">
        <v>183</v>
      </c>
      <c r="D97" s="48">
        <v>526.16999999999996</v>
      </c>
      <c r="E97" s="53">
        <v>566.5</v>
      </c>
      <c r="F97" s="132">
        <v>612.67999999999995</v>
      </c>
      <c r="G97" s="85">
        <f>R92/P97</f>
        <v>683.05104148576436</v>
      </c>
      <c r="P97" s="1">
        <v>33823506</v>
      </c>
    </row>
    <row r="98" spans="1:16" x14ac:dyDescent="0.35">
      <c r="A98" s="3"/>
      <c r="B98" s="298"/>
      <c r="C98" s="54" t="s">
        <v>165</v>
      </c>
      <c r="D98" s="101">
        <f>AVERAGE(D96:D97)</f>
        <v>347.11500000000001</v>
      </c>
      <c r="E98" s="101">
        <f>AVERAGE(E96:E97)</f>
        <v>391.36500000000001</v>
      </c>
      <c r="F98" s="133">
        <f>AVERAGE(F96:F97)</f>
        <v>447.995</v>
      </c>
      <c r="G98" s="85">
        <f>AVERAGE(G96:G97)</f>
        <v>629.50035096595161</v>
      </c>
    </row>
    <row r="99" spans="1:16" x14ac:dyDescent="0.3">
      <c r="A99" s="3"/>
      <c r="B99" s="388"/>
      <c r="C99" s="389"/>
      <c r="D99" s="389"/>
      <c r="E99" s="389"/>
      <c r="F99" s="389"/>
      <c r="G99" s="390"/>
    </row>
    <row r="100" spans="1:16" x14ac:dyDescent="0.3">
      <c r="A100" s="3"/>
      <c r="B100" s="253" t="s">
        <v>82</v>
      </c>
      <c r="C100" s="270"/>
      <c r="D100" s="270"/>
      <c r="E100" s="270"/>
      <c r="F100" s="270"/>
      <c r="G100" s="254"/>
    </row>
    <row r="101" spans="1:16" x14ac:dyDescent="0.3">
      <c r="A101" s="3"/>
      <c r="B101" s="253" t="s">
        <v>186</v>
      </c>
      <c r="C101" s="270"/>
      <c r="D101" s="270"/>
      <c r="E101" s="270"/>
      <c r="F101" s="270"/>
      <c r="G101" s="254"/>
    </row>
    <row r="102" spans="1:16" ht="37.5" customHeight="1" x14ac:dyDescent="0.3">
      <c r="A102" s="3"/>
      <c r="B102" s="301" t="s">
        <v>756</v>
      </c>
      <c r="C102" s="302"/>
      <c r="D102" s="302"/>
      <c r="E102" s="302"/>
      <c r="F102" s="302"/>
      <c r="G102" s="303"/>
    </row>
    <row r="103" spans="1:16" x14ac:dyDescent="0.3">
      <c r="A103" s="3"/>
      <c r="C103" s="402"/>
      <c r="D103" s="402"/>
      <c r="E103" s="402"/>
      <c r="F103" s="402"/>
      <c r="G103" s="402"/>
    </row>
    <row r="104" spans="1:16" x14ac:dyDescent="0.3">
      <c r="A104" s="3">
        <v>14</v>
      </c>
      <c r="B104" s="54" t="s">
        <v>63</v>
      </c>
      <c r="C104" s="307" t="s">
        <v>50</v>
      </c>
      <c r="D104" s="308"/>
      <c r="E104" s="308"/>
      <c r="F104" s="308"/>
      <c r="G104" s="249"/>
    </row>
    <row r="105" spans="1:16" x14ac:dyDescent="0.3">
      <c r="A105" s="3"/>
      <c r="B105" s="54"/>
      <c r="C105" s="5"/>
      <c r="D105" s="50"/>
      <c r="E105" s="50"/>
      <c r="F105" s="50"/>
      <c r="G105" s="50"/>
    </row>
    <row r="106" spans="1:16" x14ac:dyDescent="0.3">
      <c r="A106" s="3"/>
      <c r="B106" s="299" t="s">
        <v>185</v>
      </c>
      <c r="C106" s="312"/>
      <c r="D106" s="312"/>
      <c r="E106" s="312"/>
      <c r="F106" s="312"/>
      <c r="G106" s="312"/>
      <c r="H106" s="312"/>
    </row>
    <row r="111" spans="1:16" x14ac:dyDescent="0.3">
      <c r="D111" s="56"/>
      <c r="E111" s="56"/>
    </row>
    <row r="112" spans="1:16" x14ac:dyDescent="0.3">
      <c r="E112" s="56"/>
    </row>
  </sheetData>
  <mergeCells count="60">
    <mergeCell ref="B12:D12"/>
    <mergeCell ref="C36:E36"/>
    <mergeCell ref="C37:E37"/>
    <mergeCell ref="B33:E33"/>
    <mergeCell ref="B15:C15"/>
    <mergeCell ref="B17:E17"/>
    <mergeCell ref="C18:E18"/>
    <mergeCell ref="C19:E19"/>
    <mergeCell ref="C20:E20"/>
    <mergeCell ref="C21:E21"/>
    <mergeCell ref="C22:E22"/>
    <mergeCell ref="B23:E23"/>
    <mergeCell ref="B26:E26"/>
    <mergeCell ref="B27:E27"/>
    <mergeCell ref="A1:B1"/>
    <mergeCell ref="C5:E5"/>
    <mergeCell ref="B6:D6"/>
    <mergeCell ref="B9:D9"/>
    <mergeCell ref="C11:E11"/>
    <mergeCell ref="C56:E56"/>
    <mergeCell ref="B35:E35"/>
    <mergeCell ref="B39:C39"/>
    <mergeCell ref="B42:E42"/>
    <mergeCell ref="C43:E43"/>
    <mergeCell ref="C44:E44"/>
    <mergeCell ref="C45:E45"/>
    <mergeCell ref="C38:E38"/>
    <mergeCell ref="B46:E46"/>
    <mergeCell ref="B48:E48"/>
    <mergeCell ref="B53:E53"/>
    <mergeCell ref="B54:B55"/>
    <mergeCell ref="C54:E55"/>
    <mergeCell ref="B51:E51"/>
    <mergeCell ref="L67:N67"/>
    <mergeCell ref="B71:N71"/>
    <mergeCell ref="B72:F72"/>
    <mergeCell ref="C57:E57"/>
    <mergeCell ref="B58:E58"/>
    <mergeCell ref="C60:E60"/>
    <mergeCell ref="C63:E63"/>
    <mergeCell ref="B67:B68"/>
    <mergeCell ref="C67:C68"/>
    <mergeCell ref="D67:D68"/>
    <mergeCell ref="E67:E68"/>
    <mergeCell ref="B100:G100"/>
    <mergeCell ref="B74:F74"/>
    <mergeCell ref="B76:G76"/>
    <mergeCell ref="F67:H67"/>
    <mergeCell ref="I67:K67"/>
    <mergeCell ref="B73:F73"/>
    <mergeCell ref="B99:G99"/>
    <mergeCell ref="B94:B98"/>
    <mergeCell ref="B89:B93"/>
    <mergeCell ref="B84:B88"/>
    <mergeCell ref="B79:B83"/>
    <mergeCell ref="B106:H106"/>
    <mergeCell ref="B101:G101"/>
    <mergeCell ref="B102:G102"/>
    <mergeCell ref="C103:G103"/>
    <mergeCell ref="C104:G104"/>
  </mergeCells>
  <pageMargins left="0.70866141732283472" right="0.70866141732283472" top="0.74803149606299213" bottom="0.74803149606299213" header="0.31496062992125984" footer="0.31496062992125984"/>
  <pageSetup paperSize="9" scale="25" fitToWidth="70" fitToHeight="2" orientation="landscape" horizontalDpi="1200" verticalDpi="1200" r:id="rId1"/>
  <rowBreaks count="1" manualBreakCount="1">
    <brk id="51" max="1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77704-6D18-4851-A44A-427727A92A97}">
  <dimension ref="A1:N98"/>
  <sheetViews>
    <sheetView view="pageBreakPreview" topLeftCell="C51" zoomScale="69" zoomScaleNormal="70" zoomScaleSheetLayoutView="69" workbookViewId="0">
      <selection activeCell="F51" sqref="F51"/>
    </sheetView>
  </sheetViews>
  <sheetFormatPr defaultColWidth="8.6640625" defaultRowHeight="21" x14ac:dyDescent="0.3"/>
  <cols>
    <col min="1" max="1" width="8.6640625" style="1"/>
    <col min="2" max="2" width="46.33203125" style="1" customWidth="1"/>
    <col min="3" max="3" width="80.33203125" style="1" customWidth="1"/>
    <col min="4" max="4" width="48" style="1" customWidth="1"/>
    <col min="5" max="5" width="22.33203125" style="1" customWidth="1"/>
    <col min="6" max="6" width="19.6640625" style="1" customWidth="1"/>
    <col min="7" max="7" width="22.33203125" style="1" customWidth="1"/>
    <col min="8" max="8" width="13" style="1" bestFit="1" customWidth="1"/>
    <col min="9" max="9" width="12.88671875" style="1" bestFit="1" customWidth="1"/>
    <col min="10" max="10" width="13" style="1" bestFit="1" customWidth="1"/>
    <col min="11" max="11" width="12.88671875" style="1" bestFit="1" customWidth="1"/>
    <col min="12" max="12" width="15" style="1" customWidth="1"/>
    <col min="13" max="13" width="16" style="1" customWidth="1"/>
    <col min="14" max="14" width="16.5546875" style="1" customWidth="1"/>
    <col min="15" max="16384" width="8.6640625" style="1"/>
  </cols>
  <sheetData>
    <row r="1" spans="1:5" x14ac:dyDescent="0.3">
      <c r="A1" s="246" t="s">
        <v>0</v>
      </c>
      <c r="B1" s="246"/>
      <c r="D1" s="2"/>
    </row>
    <row r="3" spans="1:5" ht="40.799999999999997" x14ac:dyDescent="0.3">
      <c r="A3" s="3" t="s">
        <v>1</v>
      </c>
      <c r="B3" s="54" t="s">
        <v>2</v>
      </c>
      <c r="C3" s="5" t="s">
        <v>188</v>
      </c>
    </row>
    <row r="4" spans="1:5" x14ac:dyDescent="0.3">
      <c r="D4" s="22"/>
    </row>
    <row r="5" spans="1:5" x14ac:dyDescent="0.3">
      <c r="A5" s="62">
        <v>1</v>
      </c>
      <c r="B5" s="63" t="s">
        <v>3</v>
      </c>
      <c r="C5" s="247" t="s">
        <v>779</v>
      </c>
      <c r="D5" s="248"/>
      <c r="E5" s="249"/>
    </row>
    <row r="6" spans="1:5" x14ac:dyDescent="0.3">
      <c r="A6" s="3"/>
      <c r="B6" s="412" t="s">
        <v>4</v>
      </c>
      <c r="C6" s="412"/>
      <c r="D6" s="412"/>
      <c r="E6" s="10"/>
    </row>
    <row r="7" spans="1:5" x14ac:dyDescent="0.3">
      <c r="A7" s="3"/>
      <c r="B7" s="2"/>
      <c r="D7" s="22"/>
    </row>
    <row r="8" spans="1:5" x14ac:dyDescent="0.3">
      <c r="A8" s="3">
        <v>2</v>
      </c>
      <c r="B8" s="63" t="s">
        <v>5</v>
      </c>
      <c r="C8" s="12" t="s">
        <v>189</v>
      </c>
      <c r="D8" s="22"/>
    </row>
    <row r="9" spans="1:5" x14ac:dyDescent="0.3">
      <c r="A9" s="3"/>
      <c r="B9" s="250" t="s">
        <v>4</v>
      </c>
      <c r="C9" s="251"/>
      <c r="D9" s="252"/>
    </row>
    <row r="10" spans="1:5" x14ac:dyDescent="0.3">
      <c r="A10" s="3"/>
      <c r="B10" s="2"/>
      <c r="D10" s="22"/>
    </row>
    <row r="11" spans="1:5" ht="40.200000000000003" customHeight="1" x14ac:dyDescent="0.3">
      <c r="A11" s="3">
        <v>3</v>
      </c>
      <c r="B11" s="63" t="s">
        <v>6</v>
      </c>
      <c r="C11" s="247" t="s">
        <v>90</v>
      </c>
      <c r="D11" s="248"/>
      <c r="E11" s="249"/>
    </row>
    <row r="12" spans="1:5" x14ac:dyDescent="0.3">
      <c r="A12" s="3"/>
      <c r="B12" s="412" t="s">
        <v>4</v>
      </c>
      <c r="C12" s="412"/>
      <c r="D12" s="412"/>
      <c r="E12" s="10"/>
    </row>
    <row r="13" spans="1:5" x14ac:dyDescent="0.3">
      <c r="A13" s="3"/>
      <c r="B13" s="2"/>
      <c r="D13" s="22"/>
    </row>
    <row r="14" spans="1:5" ht="40.799999999999997" x14ac:dyDescent="0.3">
      <c r="A14" s="3">
        <v>4</v>
      </c>
      <c r="B14" s="54" t="s">
        <v>7</v>
      </c>
      <c r="C14" s="5" t="s">
        <v>190</v>
      </c>
      <c r="D14" s="22"/>
    </row>
    <row r="15" spans="1:5" x14ac:dyDescent="0.3">
      <c r="A15" s="3"/>
      <c r="B15" s="253" t="s">
        <v>8</v>
      </c>
      <c r="C15" s="411"/>
      <c r="D15" s="22"/>
    </row>
    <row r="16" spans="1:5" x14ac:dyDescent="0.3">
      <c r="A16" s="3"/>
      <c r="D16" s="22"/>
    </row>
    <row r="17" spans="1:14" ht="46.5" customHeight="1" x14ac:dyDescent="0.3">
      <c r="A17" s="3">
        <v>5</v>
      </c>
      <c r="B17" s="406" t="s">
        <v>9</v>
      </c>
      <c r="C17" s="295"/>
      <c r="D17" s="295"/>
      <c r="E17" s="295"/>
      <c r="F17" s="2"/>
      <c r="G17" s="2"/>
      <c r="H17" s="2"/>
      <c r="I17" s="2"/>
      <c r="J17" s="10"/>
      <c r="K17" s="10"/>
      <c r="L17" s="10"/>
      <c r="M17" s="10"/>
      <c r="N17" s="10"/>
    </row>
    <row r="18" spans="1:14" x14ac:dyDescent="0.3">
      <c r="A18" s="3"/>
      <c r="B18" s="65" t="s">
        <v>10</v>
      </c>
      <c r="C18" s="414" t="s">
        <v>11</v>
      </c>
      <c r="D18" s="414"/>
      <c r="E18" s="414"/>
      <c r="F18" s="66"/>
      <c r="G18" s="10"/>
      <c r="H18" s="10"/>
      <c r="I18" s="10"/>
      <c r="J18" s="10"/>
      <c r="K18" s="10"/>
      <c r="L18" s="10"/>
      <c r="M18" s="10"/>
      <c r="N18" s="10"/>
    </row>
    <row r="19" spans="1:14" ht="61.2" x14ac:dyDescent="0.3">
      <c r="A19" s="3"/>
      <c r="B19" s="65" t="s">
        <v>97</v>
      </c>
      <c r="C19" s="414" t="s">
        <v>11</v>
      </c>
      <c r="D19" s="414"/>
      <c r="E19" s="414"/>
      <c r="F19" s="66"/>
      <c r="G19" s="10"/>
      <c r="I19" s="10"/>
      <c r="J19" s="10"/>
      <c r="K19" s="10"/>
      <c r="L19" s="10"/>
      <c r="M19" s="10"/>
      <c r="N19" s="10"/>
    </row>
    <row r="20" spans="1:14" x14ac:dyDescent="0.3">
      <c r="A20" s="3"/>
      <c r="B20" s="65" t="s">
        <v>12</v>
      </c>
      <c r="C20" s="414" t="s">
        <v>11</v>
      </c>
      <c r="D20" s="414"/>
      <c r="E20" s="414"/>
      <c r="F20" s="66"/>
      <c r="G20" s="10"/>
      <c r="H20" s="10"/>
      <c r="I20" s="10"/>
      <c r="J20" s="10"/>
      <c r="K20" s="10"/>
      <c r="L20" s="10"/>
      <c r="M20" s="10"/>
      <c r="N20" s="10"/>
    </row>
    <row r="21" spans="1:14" x14ac:dyDescent="0.3">
      <c r="A21" s="3"/>
      <c r="B21" s="65" t="s">
        <v>13</v>
      </c>
      <c r="C21" s="414" t="s">
        <v>11</v>
      </c>
      <c r="D21" s="414"/>
      <c r="E21" s="414"/>
      <c r="F21" s="66"/>
      <c r="G21" s="10"/>
      <c r="H21" s="10"/>
      <c r="I21" s="10"/>
      <c r="J21" s="10"/>
      <c r="K21" s="10"/>
      <c r="L21" s="10"/>
      <c r="M21" s="10"/>
      <c r="N21" s="10"/>
    </row>
    <row r="22" spans="1:14" x14ac:dyDescent="0.3">
      <c r="A22" s="3"/>
      <c r="B22" s="64" t="s">
        <v>14</v>
      </c>
      <c r="C22" s="418">
        <v>2.5000000000000001E-3</v>
      </c>
      <c r="D22" s="408"/>
      <c r="E22" s="408"/>
      <c r="F22" s="66"/>
      <c r="G22" s="10"/>
      <c r="H22" s="10"/>
      <c r="I22" s="10"/>
      <c r="J22" s="10"/>
      <c r="K22" s="10"/>
      <c r="L22" s="10"/>
      <c r="M22" s="10"/>
      <c r="N22" s="10"/>
    </row>
    <row r="23" spans="1:14" x14ac:dyDescent="0.3">
      <c r="A23" s="3"/>
      <c r="B23" s="412" t="s">
        <v>64</v>
      </c>
      <c r="C23" s="412"/>
      <c r="D23" s="412"/>
      <c r="E23" s="412"/>
      <c r="F23" s="66"/>
      <c r="G23" s="10"/>
      <c r="H23" s="10"/>
      <c r="I23" s="10"/>
      <c r="J23" s="10"/>
      <c r="K23" s="10"/>
      <c r="L23" s="10"/>
      <c r="M23" s="10"/>
      <c r="N23" s="10"/>
    </row>
    <row r="24" spans="1:14" x14ac:dyDescent="0.3">
      <c r="A24" s="3"/>
      <c r="C24" s="10"/>
      <c r="D24" s="10"/>
      <c r="E24" s="10"/>
      <c r="F24" s="66"/>
      <c r="G24" s="10"/>
      <c r="H24" s="10"/>
      <c r="I24" s="10"/>
      <c r="J24" s="10"/>
      <c r="K24" s="10"/>
      <c r="L24" s="10"/>
      <c r="M24" s="10"/>
      <c r="N24" s="10"/>
    </row>
    <row r="25" spans="1:14" x14ac:dyDescent="0.3">
      <c r="A25" s="3"/>
      <c r="B25" s="66"/>
      <c r="C25" s="66"/>
      <c r="D25" s="66"/>
      <c r="E25" s="66"/>
      <c r="F25" s="66"/>
      <c r="G25" s="10"/>
      <c r="H25" s="10"/>
      <c r="I25" s="10"/>
      <c r="J25" s="10"/>
      <c r="K25" s="10"/>
      <c r="L25" s="10"/>
      <c r="M25" s="10"/>
      <c r="N25" s="10"/>
    </row>
    <row r="26" spans="1:14" ht="38.700000000000003" customHeight="1" x14ac:dyDescent="0.3">
      <c r="A26" s="3">
        <v>6</v>
      </c>
      <c r="B26" s="406" t="s">
        <v>16</v>
      </c>
      <c r="C26" s="406"/>
      <c r="D26" s="406"/>
      <c r="E26" s="406"/>
      <c r="F26" s="2"/>
      <c r="G26" s="2"/>
      <c r="H26" s="10"/>
      <c r="I26" s="2"/>
      <c r="J26" s="2"/>
    </row>
    <row r="27" spans="1:14" x14ac:dyDescent="0.3">
      <c r="A27" s="3"/>
      <c r="B27" s="264" t="s">
        <v>17</v>
      </c>
      <c r="C27" s="265"/>
      <c r="D27" s="265"/>
      <c r="E27" s="266"/>
      <c r="F27" s="66"/>
    </row>
    <row r="28" spans="1:14" ht="40.799999999999997" x14ac:dyDescent="0.3">
      <c r="A28" s="3"/>
      <c r="B28" s="67" t="s">
        <v>18</v>
      </c>
      <c r="C28" s="25" t="s">
        <v>106</v>
      </c>
      <c r="D28" s="25" t="s">
        <v>107</v>
      </c>
      <c r="E28" s="25" t="s">
        <v>522</v>
      </c>
      <c r="F28" s="66"/>
    </row>
    <row r="29" spans="1:14" ht="22.5" customHeight="1" x14ac:dyDescent="0.3">
      <c r="A29" s="3"/>
      <c r="B29" s="68" t="s">
        <v>21</v>
      </c>
      <c r="C29" s="27">
        <v>2067.21</v>
      </c>
      <c r="D29" s="27">
        <v>2228.5300000000002</v>
      </c>
      <c r="E29" s="27">
        <v>2018.86</v>
      </c>
      <c r="F29" s="66"/>
    </row>
    <row r="30" spans="1:14" x14ac:dyDescent="0.3">
      <c r="A30" s="3"/>
      <c r="B30" s="68" t="s">
        <v>23</v>
      </c>
      <c r="C30" s="27">
        <v>-18.91</v>
      </c>
      <c r="D30" s="27">
        <v>-18.25</v>
      </c>
      <c r="E30" s="27">
        <v>-143.15</v>
      </c>
      <c r="F30" s="66"/>
    </row>
    <row r="31" spans="1:14" x14ac:dyDescent="0.3">
      <c r="A31" s="3"/>
      <c r="B31" s="68" t="s">
        <v>24</v>
      </c>
      <c r="C31" s="27">
        <v>391.35</v>
      </c>
      <c r="D31" s="27">
        <v>416.95</v>
      </c>
      <c r="E31" s="50">
        <v>427.3</v>
      </c>
      <c r="F31" s="66"/>
    </row>
    <row r="32" spans="1:14" ht="42" x14ac:dyDescent="0.3">
      <c r="A32" s="3"/>
      <c r="B32" s="68" t="s">
        <v>25</v>
      </c>
      <c r="C32" s="27">
        <v>394.05</v>
      </c>
      <c r="D32" s="27">
        <v>744.44</v>
      </c>
      <c r="E32" s="27">
        <v>777.93</v>
      </c>
      <c r="F32" s="66"/>
    </row>
    <row r="33" spans="1:10" x14ac:dyDescent="0.3">
      <c r="A33" s="3"/>
      <c r="B33" s="253" t="s">
        <v>780</v>
      </c>
      <c r="C33" s="270"/>
      <c r="D33" s="270"/>
      <c r="E33" s="254"/>
      <c r="F33" s="66"/>
    </row>
    <row r="34" spans="1:10" x14ac:dyDescent="0.3">
      <c r="A34" s="3"/>
      <c r="B34" s="10"/>
      <c r="C34" s="66"/>
      <c r="D34" s="66"/>
      <c r="E34" s="66"/>
      <c r="F34" s="66"/>
    </row>
    <row r="35" spans="1:10" ht="49.5" customHeight="1" x14ac:dyDescent="0.3">
      <c r="A35" s="3">
        <v>7</v>
      </c>
      <c r="B35" s="406" t="s">
        <v>26</v>
      </c>
      <c r="C35" s="406"/>
      <c r="D35" s="406"/>
      <c r="E35" s="406"/>
      <c r="F35" s="2"/>
      <c r="G35" s="2"/>
      <c r="H35" s="2"/>
      <c r="I35" s="2"/>
      <c r="J35" s="2"/>
    </row>
    <row r="36" spans="1:10" x14ac:dyDescent="0.3">
      <c r="A36" s="3"/>
      <c r="B36" s="67" t="s">
        <v>27</v>
      </c>
      <c r="C36" s="408" t="s">
        <v>93</v>
      </c>
      <c r="D36" s="408"/>
      <c r="E36" s="408"/>
      <c r="F36" s="10"/>
    </row>
    <row r="37" spans="1:10" x14ac:dyDescent="0.3">
      <c r="A37" s="3"/>
      <c r="B37" s="67" t="s">
        <v>28</v>
      </c>
      <c r="C37" s="408" t="s">
        <v>93</v>
      </c>
      <c r="D37" s="408"/>
      <c r="E37" s="408"/>
      <c r="F37" s="10"/>
    </row>
    <row r="38" spans="1:10" x14ac:dyDescent="0.3">
      <c r="A38" s="3"/>
      <c r="B38" s="69" t="s">
        <v>29</v>
      </c>
      <c r="C38" s="401" t="s">
        <v>93</v>
      </c>
      <c r="D38" s="401"/>
      <c r="E38" s="401"/>
      <c r="F38" s="10"/>
    </row>
    <row r="39" spans="1:10" x14ac:dyDescent="0.3">
      <c r="A39" s="3"/>
      <c r="B39" s="412" t="s">
        <v>781</v>
      </c>
      <c r="C39" s="419"/>
      <c r="D39" s="10"/>
      <c r="E39" s="10"/>
      <c r="F39" s="10"/>
    </row>
    <row r="40" spans="1:10" x14ac:dyDescent="0.3">
      <c r="A40" s="3"/>
      <c r="C40" s="10"/>
      <c r="D40" s="10"/>
      <c r="E40" s="10"/>
      <c r="F40" s="10"/>
    </row>
    <row r="41" spans="1:10" x14ac:dyDescent="0.3">
      <c r="A41" s="3"/>
      <c r="B41" s="66"/>
      <c r="C41" s="10"/>
      <c r="D41" s="10"/>
      <c r="E41" s="10"/>
      <c r="F41" s="10"/>
    </row>
    <row r="42" spans="1:10" ht="51.6" customHeight="1" x14ac:dyDescent="0.3">
      <c r="A42" s="3">
        <v>8</v>
      </c>
      <c r="B42" s="406" t="s">
        <v>30</v>
      </c>
      <c r="C42" s="406"/>
      <c r="D42" s="406"/>
      <c r="E42" s="406"/>
      <c r="F42" s="2"/>
      <c r="G42" s="2"/>
      <c r="H42" s="2"/>
      <c r="I42" s="2"/>
      <c r="J42" s="2"/>
    </row>
    <row r="43" spans="1:10" ht="42.75" customHeight="1" x14ac:dyDescent="0.3">
      <c r="A43" s="3"/>
      <c r="B43" s="67" t="s">
        <v>31</v>
      </c>
      <c r="C43" s="408" t="s">
        <v>85</v>
      </c>
      <c r="D43" s="408"/>
      <c r="E43" s="408"/>
      <c r="F43" s="10"/>
    </row>
    <row r="44" spans="1:10" ht="27.75" customHeight="1" x14ac:dyDescent="0.3">
      <c r="A44" s="3"/>
      <c r="B44" s="67" t="s">
        <v>28</v>
      </c>
      <c r="C44" s="408" t="s">
        <v>85</v>
      </c>
      <c r="D44" s="408"/>
      <c r="E44" s="408"/>
      <c r="F44" s="10"/>
    </row>
    <row r="45" spans="1:10" ht="27.75" customHeight="1" x14ac:dyDescent="0.3">
      <c r="A45" s="3"/>
      <c r="B45" s="67" t="s">
        <v>29</v>
      </c>
      <c r="C45" s="408" t="s">
        <v>85</v>
      </c>
      <c r="D45" s="408"/>
      <c r="E45" s="408"/>
      <c r="F45" s="10"/>
    </row>
    <row r="46" spans="1:10" x14ac:dyDescent="0.3">
      <c r="A46" s="3"/>
      <c r="B46" s="253"/>
      <c r="C46" s="270"/>
      <c r="D46" s="270"/>
      <c r="E46" s="254"/>
      <c r="F46" s="10"/>
    </row>
    <row r="47" spans="1:10" x14ac:dyDescent="0.3">
      <c r="A47" s="3"/>
      <c r="D47" s="22"/>
      <c r="E47" s="10"/>
    </row>
    <row r="48" spans="1:10" ht="39.75" customHeight="1" x14ac:dyDescent="0.3">
      <c r="A48" s="191">
        <v>9</v>
      </c>
      <c r="B48" s="263" t="s">
        <v>32</v>
      </c>
      <c r="C48" s="406"/>
      <c r="D48" s="406"/>
      <c r="E48" s="406"/>
      <c r="F48" s="2"/>
      <c r="G48" s="2"/>
      <c r="H48" s="2"/>
      <c r="I48" s="2"/>
    </row>
    <row r="49" spans="1:14" ht="81.599999999999994" x14ac:dyDescent="0.3">
      <c r="A49" s="191"/>
      <c r="B49" s="24" t="s">
        <v>33</v>
      </c>
      <c r="C49" s="25" t="s">
        <v>34</v>
      </c>
      <c r="D49" s="25" t="s">
        <v>528</v>
      </c>
      <c r="E49" s="25" t="s">
        <v>35</v>
      </c>
    </row>
    <row r="50" spans="1:14" ht="176.4" customHeight="1" x14ac:dyDescent="0.3">
      <c r="A50" s="191"/>
      <c r="B50" s="189" t="s">
        <v>194</v>
      </c>
      <c r="C50" s="27" t="s">
        <v>507</v>
      </c>
      <c r="D50" s="27" t="s">
        <v>587</v>
      </c>
      <c r="E50" s="27" t="s">
        <v>50</v>
      </c>
    </row>
    <row r="51" spans="1:14" x14ac:dyDescent="0.3">
      <c r="A51" s="191"/>
      <c r="B51" s="308" t="s">
        <v>782</v>
      </c>
      <c r="C51" s="308"/>
      <c r="D51" s="308"/>
      <c r="E51" s="308"/>
      <c r="F51" s="66"/>
      <c r="G51" s="66"/>
      <c r="H51" s="66"/>
      <c r="I51" s="66"/>
    </row>
    <row r="52" spans="1:14" x14ac:dyDescent="0.3">
      <c r="A52" s="191"/>
      <c r="B52" s="185"/>
      <c r="C52" s="185"/>
      <c r="D52" s="185"/>
      <c r="E52" s="185"/>
      <c r="F52" s="66"/>
      <c r="G52" s="66"/>
      <c r="H52" s="66"/>
      <c r="I52" s="66"/>
    </row>
    <row r="53" spans="1:14" ht="42.75" customHeight="1" x14ac:dyDescent="0.3">
      <c r="A53" s="191">
        <v>10</v>
      </c>
      <c r="B53" s="263" t="s">
        <v>73</v>
      </c>
      <c r="C53" s="406"/>
      <c r="D53" s="406"/>
      <c r="E53" s="406"/>
      <c r="F53" s="66"/>
      <c r="G53" s="66"/>
      <c r="H53" s="66"/>
    </row>
    <row r="54" spans="1:14" ht="14.25" customHeight="1" x14ac:dyDescent="0.3">
      <c r="A54" s="191"/>
      <c r="B54" s="275" t="s">
        <v>36</v>
      </c>
      <c r="C54" s="420" t="s">
        <v>508</v>
      </c>
      <c r="D54" s="421"/>
      <c r="E54" s="422"/>
      <c r="K54" s="2"/>
    </row>
    <row r="55" spans="1:14" ht="74.400000000000006" customHeight="1" x14ac:dyDescent="0.3">
      <c r="A55" s="191"/>
      <c r="B55" s="344"/>
      <c r="C55" s="423"/>
      <c r="D55" s="424"/>
      <c r="E55" s="425"/>
      <c r="K55" s="2"/>
    </row>
    <row r="56" spans="1:14" ht="93.75" customHeight="1" x14ac:dyDescent="0.3">
      <c r="A56" s="191"/>
      <c r="B56" s="29" t="s">
        <v>37</v>
      </c>
      <c r="C56" s="394" t="s">
        <v>588</v>
      </c>
      <c r="D56" s="395"/>
      <c r="E56" s="396"/>
    </row>
    <row r="57" spans="1:14" x14ac:dyDescent="0.3">
      <c r="A57" s="191"/>
      <c r="B57" s="29" t="s">
        <v>38</v>
      </c>
      <c r="C57" s="394" t="s">
        <v>95</v>
      </c>
      <c r="D57" s="395"/>
      <c r="E57" s="396"/>
      <c r="K57" s="30"/>
    </row>
    <row r="58" spans="1:14" s="32" customFormat="1" x14ac:dyDescent="0.4">
      <c r="A58" s="111" t="s">
        <v>39</v>
      </c>
      <c r="B58" s="291" t="s">
        <v>783</v>
      </c>
      <c r="C58" s="351"/>
      <c r="D58" s="351"/>
      <c r="E58" s="351"/>
    </row>
    <row r="59" spans="1:14" x14ac:dyDescent="0.3">
      <c r="A59" s="191"/>
      <c r="B59" s="73"/>
      <c r="C59" s="73"/>
      <c r="D59" s="73"/>
      <c r="E59" s="73"/>
      <c r="F59" s="73"/>
    </row>
    <row r="60" spans="1:14" x14ac:dyDescent="0.3">
      <c r="A60" s="3">
        <v>11</v>
      </c>
      <c r="B60" s="54" t="s">
        <v>41</v>
      </c>
      <c r="C60" s="300" t="s">
        <v>89</v>
      </c>
      <c r="D60" s="300"/>
      <c r="E60" s="300"/>
      <c r="F60" s="2"/>
      <c r="G60" s="2"/>
      <c r="H60" s="74"/>
      <c r="I60" s="2"/>
      <c r="J60" s="2"/>
    </row>
    <row r="61" spans="1:14" x14ac:dyDescent="0.3">
      <c r="A61" s="3"/>
      <c r="B61" s="66"/>
      <c r="C61" s="66"/>
      <c r="D61" s="66"/>
      <c r="E61" s="66"/>
      <c r="F61" s="66"/>
      <c r="G61" s="66"/>
      <c r="H61" s="75"/>
      <c r="I61" s="75"/>
      <c r="J61" s="66"/>
    </row>
    <row r="62" spans="1:14" x14ac:dyDescent="0.3">
      <c r="A62" s="3"/>
      <c r="B62" s="66"/>
      <c r="C62" s="66"/>
      <c r="D62" s="66"/>
      <c r="E62" s="66"/>
      <c r="F62" s="66"/>
      <c r="G62" s="66"/>
      <c r="H62" s="75"/>
      <c r="I62" s="75"/>
      <c r="J62" s="66"/>
    </row>
    <row r="63" spans="1:14" s="42" customFormat="1" x14ac:dyDescent="0.3">
      <c r="A63" s="76">
        <v>12</v>
      </c>
      <c r="B63" s="77" t="s">
        <v>42</v>
      </c>
      <c r="C63" s="405"/>
      <c r="D63" s="405"/>
      <c r="E63" s="405"/>
      <c r="F63" s="78"/>
      <c r="G63" s="79"/>
      <c r="H63" s="79"/>
      <c r="I63" s="79"/>
      <c r="J63" s="79"/>
      <c r="K63" s="79"/>
      <c r="L63" s="79"/>
      <c r="M63" s="79"/>
      <c r="N63" s="79"/>
    </row>
    <row r="64" spans="1:14" x14ac:dyDescent="0.3">
      <c r="A64" s="3"/>
      <c r="B64" s="2"/>
      <c r="C64" s="2"/>
      <c r="D64" s="2"/>
      <c r="E64" s="74"/>
      <c r="F64" s="74"/>
      <c r="G64" s="74"/>
      <c r="H64" s="2"/>
      <c r="I64" s="2"/>
      <c r="J64" s="2"/>
      <c r="K64" s="2"/>
      <c r="L64" s="2"/>
      <c r="M64" s="2"/>
      <c r="N64" s="2"/>
    </row>
    <row r="65" spans="1:14" x14ac:dyDescent="0.3">
      <c r="A65" s="3"/>
      <c r="B65" s="67" t="s">
        <v>43</v>
      </c>
      <c r="C65" s="68" t="s">
        <v>195</v>
      </c>
      <c r="D65" s="66"/>
      <c r="E65" s="66"/>
      <c r="F65" s="75"/>
      <c r="G65" s="75"/>
      <c r="H65" s="66"/>
      <c r="I65" s="66"/>
      <c r="J65" s="66"/>
      <c r="K65" s="66"/>
      <c r="L65" s="66"/>
      <c r="M65" s="66"/>
      <c r="N65" s="66"/>
    </row>
    <row r="66" spans="1:14" x14ac:dyDescent="0.3">
      <c r="A66" s="3"/>
      <c r="B66" s="66"/>
      <c r="C66" s="66"/>
      <c r="D66" s="66"/>
      <c r="E66" s="66"/>
      <c r="F66" s="66"/>
      <c r="G66" s="66"/>
      <c r="H66" s="66"/>
      <c r="I66" s="66"/>
      <c r="J66" s="66"/>
      <c r="K66" s="66"/>
      <c r="L66" s="66"/>
      <c r="M66" s="66"/>
      <c r="N66" s="66"/>
    </row>
    <row r="67" spans="1:14" ht="80.25" customHeight="1" x14ac:dyDescent="0.3">
      <c r="A67" s="3"/>
      <c r="B67" s="406" t="s">
        <v>44</v>
      </c>
      <c r="C67" s="295" t="s">
        <v>196</v>
      </c>
      <c r="D67" s="295" t="s">
        <v>91</v>
      </c>
      <c r="E67" s="297" t="s">
        <v>45</v>
      </c>
      <c r="F67" s="292" t="s">
        <v>98</v>
      </c>
      <c r="G67" s="293"/>
      <c r="H67" s="294"/>
      <c r="I67" s="292" t="s">
        <v>122</v>
      </c>
      <c r="J67" s="293"/>
      <c r="K67" s="294"/>
      <c r="L67" s="310" t="s">
        <v>235</v>
      </c>
      <c r="M67" s="310"/>
      <c r="N67" s="310"/>
    </row>
    <row r="68" spans="1:14" ht="102" customHeight="1" x14ac:dyDescent="0.3">
      <c r="A68" s="3"/>
      <c r="B68" s="406"/>
      <c r="C68" s="296"/>
      <c r="D68" s="296"/>
      <c r="E68" s="298"/>
      <c r="F68" s="67" t="s">
        <v>46</v>
      </c>
      <c r="G68" s="67" t="s">
        <v>47</v>
      </c>
      <c r="H68" s="67" t="s">
        <v>48</v>
      </c>
      <c r="I68" s="67" t="s">
        <v>49</v>
      </c>
      <c r="J68" s="67" t="s">
        <v>47</v>
      </c>
      <c r="K68" s="67" t="s">
        <v>48</v>
      </c>
      <c r="L68" s="67" t="s">
        <v>49</v>
      </c>
      <c r="M68" s="67" t="s">
        <v>47</v>
      </c>
      <c r="N68" s="67" t="s">
        <v>48</v>
      </c>
    </row>
    <row r="69" spans="1:14" ht="105" customHeight="1" x14ac:dyDescent="0.3">
      <c r="A69" s="3"/>
      <c r="B69" s="67" t="s">
        <v>776</v>
      </c>
      <c r="C69" s="81">
        <v>54.7</v>
      </c>
      <c r="D69" s="82">
        <v>50.1</v>
      </c>
      <c r="E69" s="82">
        <v>68</v>
      </c>
      <c r="F69" s="82">
        <v>117.25</v>
      </c>
      <c r="G69" s="82">
        <v>159</v>
      </c>
      <c r="H69" s="82">
        <v>44</v>
      </c>
      <c r="I69" s="82">
        <v>123</v>
      </c>
      <c r="J69" s="82">
        <v>248.85</v>
      </c>
      <c r="K69" s="82">
        <v>116.05</v>
      </c>
      <c r="L69" s="82">
        <v>75</v>
      </c>
      <c r="M69" s="82">
        <v>151.65</v>
      </c>
      <c r="N69" s="82">
        <v>70.3</v>
      </c>
    </row>
    <row r="70" spans="1:14" ht="40.799999999999997" x14ac:dyDescent="0.3">
      <c r="A70" s="3"/>
      <c r="B70" s="69" t="s">
        <v>67</v>
      </c>
      <c r="C70" s="82">
        <v>17629.8</v>
      </c>
      <c r="D70" s="82">
        <v>17576.3</v>
      </c>
      <c r="E70" s="82">
        <v>18385.3</v>
      </c>
      <c r="F70" s="82">
        <v>17464.75</v>
      </c>
      <c r="G70" s="82">
        <v>18604.45</v>
      </c>
      <c r="H70" s="82">
        <v>14151.400390999999</v>
      </c>
      <c r="I70" s="82">
        <v>22326.9</v>
      </c>
      <c r="J70" s="82">
        <v>22526.6</v>
      </c>
      <c r="K70" s="82">
        <v>17312.75</v>
      </c>
      <c r="L70" s="121">
        <v>23519.35</v>
      </c>
      <c r="M70" s="121">
        <v>26277.35</v>
      </c>
      <c r="N70" s="121">
        <v>21281.45</v>
      </c>
    </row>
    <row r="71" spans="1:14" x14ac:dyDescent="0.3">
      <c r="A71" s="3"/>
      <c r="B71" s="403" t="s">
        <v>99</v>
      </c>
      <c r="C71" s="403"/>
      <c r="D71" s="403"/>
      <c r="E71" s="403"/>
      <c r="F71" s="403"/>
      <c r="G71" s="403"/>
      <c r="H71" s="403"/>
      <c r="I71" s="403"/>
      <c r="J71" s="403"/>
      <c r="K71" s="403"/>
      <c r="L71" s="403"/>
      <c r="M71" s="403"/>
      <c r="N71" s="403"/>
    </row>
    <row r="72" spans="1:14" ht="20.25" customHeight="1" x14ac:dyDescent="0.3">
      <c r="A72" s="3"/>
      <c r="B72" s="403" t="s">
        <v>69</v>
      </c>
      <c r="C72" s="403"/>
      <c r="D72" s="403"/>
      <c r="E72" s="403"/>
      <c r="F72" s="403"/>
      <c r="G72" s="83"/>
      <c r="H72" s="83"/>
      <c r="I72" s="83"/>
      <c r="J72" s="83"/>
      <c r="K72" s="83"/>
      <c r="L72" s="83"/>
      <c r="M72" s="83"/>
      <c r="N72" s="83"/>
    </row>
    <row r="73" spans="1:14" ht="43.5" customHeight="1" x14ac:dyDescent="0.3">
      <c r="A73" s="3"/>
      <c r="B73" s="364" t="s">
        <v>755</v>
      </c>
      <c r="C73" s="364"/>
      <c r="D73" s="364"/>
      <c r="E73" s="364"/>
      <c r="F73" s="364"/>
      <c r="G73" s="83"/>
      <c r="H73" s="83"/>
      <c r="I73" s="83"/>
      <c r="J73" s="83"/>
      <c r="K73" s="83"/>
      <c r="L73" s="83"/>
      <c r="M73" s="83"/>
      <c r="N73" s="83"/>
    </row>
    <row r="74" spans="1:14" x14ac:dyDescent="0.3">
      <c r="A74" s="3"/>
      <c r="B74" s="253" t="s">
        <v>71</v>
      </c>
      <c r="C74" s="270"/>
      <c r="D74" s="270"/>
      <c r="E74" s="270"/>
      <c r="F74" s="254"/>
      <c r="G74" s="83"/>
      <c r="H74" s="83"/>
      <c r="I74" s="83"/>
      <c r="J74" s="83"/>
      <c r="K74" s="83"/>
      <c r="L74" s="83"/>
      <c r="M74" s="83"/>
      <c r="N74" s="83"/>
    </row>
    <row r="75" spans="1:14" x14ac:dyDescent="0.3">
      <c r="A75" s="3"/>
      <c r="B75" s="84" t="s">
        <v>198</v>
      </c>
      <c r="C75" s="84"/>
      <c r="D75" s="84"/>
      <c r="E75" s="84"/>
      <c r="F75" s="84"/>
      <c r="G75" s="10"/>
      <c r="H75" s="10"/>
      <c r="I75" s="10"/>
      <c r="J75" s="10"/>
      <c r="K75" s="10"/>
      <c r="L75" s="10"/>
      <c r="M75" s="10"/>
      <c r="N75" s="10"/>
    </row>
    <row r="76" spans="1:14" ht="45.75" customHeight="1" x14ac:dyDescent="0.3">
      <c r="A76" s="3">
        <v>13</v>
      </c>
      <c r="B76" s="261" t="s">
        <v>51</v>
      </c>
      <c r="C76" s="262"/>
      <c r="D76" s="262"/>
      <c r="E76" s="262"/>
      <c r="F76" s="262"/>
      <c r="G76" s="263"/>
      <c r="H76" s="2"/>
      <c r="I76" s="2"/>
      <c r="J76" s="2"/>
      <c r="K76" s="2"/>
      <c r="L76" s="2"/>
      <c r="M76" s="2"/>
      <c r="N76" s="2"/>
    </row>
    <row r="77" spans="1:14" x14ac:dyDescent="0.3">
      <c r="A77" s="3"/>
      <c r="C77" s="66"/>
      <c r="D77" s="66"/>
      <c r="E77" s="66"/>
      <c r="F77" s="66"/>
      <c r="G77" s="66"/>
      <c r="H77" s="66"/>
      <c r="I77" s="66"/>
      <c r="J77" s="66"/>
      <c r="K77" s="66"/>
      <c r="L77" s="66"/>
      <c r="M77" s="66"/>
      <c r="N77" s="66"/>
    </row>
    <row r="78" spans="1:14" ht="108" customHeight="1" x14ac:dyDescent="0.3">
      <c r="A78" s="3"/>
      <c r="B78" s="25" t="s">
        <v>52</v>
      </c>
      <c r="C78" s="25" t="s">
        <v>53</v>
      </c>
      <c r="D78" s="25" t="s">
        <v>80</v>
      </c>
      <c r="E78" s="25" t="s">
        <v>54</v>
      </c>
      <c r="F78" s="25" t="s">
        <v>55</v>
      </c>
      <c r="G78" s="25" t="s">
        <v>56</v>
      </c>
      <c r="H78" s="10"/>
      <c r="I78" s="10"/>
      <c r="J78" s="10"/>
      <c r="K78" s="10"/>
      <c r="L78" s="10"/>
      <c r="M78" s="10"/>
      <c r="N78" s="10"/>
    </row>
    <row r="79" spans="1:14" ht="20.25" customHeight="1" x14ac:dyDescent="0.4">
      <c r="A79" s="3"/>
      <c r="B79" s="80" t="s">
        <v>445</v>
      </c>
      <c r="C79" s="5" t="s">
        <v>200</v>
      </c>
      <c r="D79" s="48">
        <v>1.66</v>
      </c>
      <c r="E79" s="85">
        <v>-0.67</v>
      </c>
      <c r="F79" s="85">
        <v>-0.44</v>
      </c>
      <c r="G79" s="85">
        <v>-3.4</v>
      </c>
    </row>
    <row r="80" spans="1:14" ht="20.25" customHeight="1" x14ac:dyDescent="0.4">
      <c r="A80" s="3"/>
      <c r="B80" s="80" t="s">
        <v>446</v>
      </c>
      <c r="C80" s="5" t="s">
        <v>200</v>
      </c>
      <c r="D80" s="48">
        <v>1.66</v>
      </c>
      <c r="E80" s="85">
        <v>-0.67</v>
      </c>
      <c r="F80" s="85">
        <v>-0.43</v>
      </c>
      <c r="G80" s="85">
        <v>-3.35</v>
      </c>
    </row>
    <row r="81" spans="1:8" x14ac:dyDescent="0.4">
      <c r="A81" s="3"/>
      <c r="B81" s="25" t="s">
        <v>59</v>
      </c>
      <c r="C81" s="5" t="s">
        <v>200</v>
      </c>
      <c r="D81" s="53">
        <v>29</v>
      </c>
      <c r="E81" s="85">
        <v>-175.94</v>
      </c>
      <c r="F81" s="85">
        <f>I69/F79</f>
        <v>-279.54545454545456</v>
      </c>
      <c r="G81" s="85">
        <f>L69/G79</f>
        <v>-22.058823529411764</v>
      </c>
    </row>
    <row r="82" spans="1:8" x14ac:dyDescent="0.4">
      <c r="A82" s="3"/>
      <c r="B82" s="25" t="s">
        <v>60</v>
      </c>
      <c r="C82" s="5" t="s">
        <v>200</v>
      </c>
      <c r="D82" s="95">
        <v>0.36259999999999998</v>
      </c>
      <c r="E82" s="109">
        <v>-2.41E-2</v>
      </c>
      <c r="F82" s="109">
        <v>-1.5699999999999999E-2</v>
      </c>
      <c r="G82" s="109">
        <v>-0.1188</v>
      </c>
    </row>
    <row r="83" spans="1:8" ht="40.799999999999997" x14ac:dyDescent="0.4">
      <c r="A83" s="3"/>
      <c r="B83" s="25" t="s">
        <v>61</v>
      </c>
      <c r="C83" s="5" t="s">
        <v>200</v>
      </c>
      <c r="D83" s="48">
        <v>4.5599999999999996</v>
      </c>
      <c r="E83" s="85">
        <v>20.07</v>
      </c>
      <c r="F83" s="85">
        <v>27.68</v>
      </c>
      <c r="G83" s="132">
        <v>28.21</v>
      </c>
    </row>
    <row r="84" spans="1:8" x14ac:dyDescent="0.3">
      <c r="A84" s="3"/>
      <c r="B84" s="388" t="s">
        <v>81</v>
      </c>
      <c r="C84" s="389"/>
      <c r="D84" s="389"/>
      <c r="E84" s="389"/>
      <c r="F84" s="389"/>
      <c r="G84" s="390"/>
    </row>
    <row r="85" spans="1:8" x14ac:dyDescent="0.3">
      <c r="A85" s="3"/>
      <c r="B85" s="253" t="s">
        <v>82</v>
      </c>
      <c r="C85" s="270"/>
      <c r="D85" s="270"/>
      <c r="E85" s="270"/>
      <c r="F85" s="270"/>
      <c r="G85" s="254"/>
    </row>
    <row r="86" spans="1:8" x14ac:dyDescent="0.3">
      <c r="A86" s="3"/>
      <c r="B86" s="253" t="s">
        <v>612</v>
      </c>
      <c r="C86" s="270"/>
      <c r="D86" s="270"/>
      <c r="E86" s="270"/>
      <c r="F86" s="270"/>
      <c r="G86" s="254"/>
    </row>
    <row r="87" spans="1:8" ht="42" customHeight="1" x14ac:dyDescent="0.3">
      <c r="A87" s="202"/>
      <c r="B87" s="338" t="s">
        <v>756</v>
      </c>
      <c r="C87" s="338"/>
      <c r="D87" s="338"/>
      <c r="E87" s="339"/>
      <c r="F87" s="198"/>
      <c r="G87" s="199"/>
    </row>
    <row r="88" spans="1:8" ht="27" customHeight="1" x14ac:dyDescent="0.3">
      <c r="A88" s="3"/>
      <c r="B88" s="301" t="s">
        <v>781</v>
      </c>
      <c r="C88" s="302"/>
      <c r="D88" s="302"/>
      <c r="E88" s="302"/>
      <c r="F88" s="197"/>
      <c r="G88" s="197"/>
    </row>
    <row r="89" spans="1:8" x14ac:dyDescent="0.3">
      <c r="A89" s="3"/>
      <c r="C89" s="197"/>
      <c r="D89" s="197"/>
      <c r="E89" s="197"/>
      <c r="F89" s="185"/>
      <c r="G89" s="195"/>
    </row>
    <row r="90" spans="1:8" x14ac:dyDescent="0.3">
      <c r="A90" s="3">
        <v>14</v>
      </c>
      <c r="B90" s="54" t="s">
        <v>63</v>
      </c>
      <c r="C90" s="186" t="s">
        <v>50</v>
      </c>
      <c r="D90" s="185"/>
      <c r="E90" s="185"/>
      <c r="F90" s="50"/>
      <c r="G90" s="50"/>
    </row>
    <row r="91" spans="1:8" ht="20.25" customHeight="1" x14ac:dyDescent="0.3">
      <c r="A91" s="3"/>
      <c r="B91" s="54"/>
      <c r="C91" s="5"/>
      <c r="D91" s="50"/>
      <c r="E91" s="50"/>
      <c r="F91" s="22"/>
      <c r="G91" s="22"/>
      <c r="H91" s="22"/>
    </row>
    <row r="92" spans="1:8" ht="56.25" customHeight="1" x14ac:dyDescent="0.3">
      <c r="B92" s="426" t="s">
        <v>199</v>
      </c>
      <c r="C92" s="426"/>
      <c r="D92" s="426"/>
      <c r="E92" s="426"/>
    </row>
    <row r="97" spans="4:5" x14ac:dyDescent="0.3">
      <c r="D97" s="56"/>
      <c r="E97" s="56"/>
    </row>
    <row r="98" spans="4:5" x14ac:dyDescent="0.3">
      <c r="E98" s="56"/>
    </row>
  </sheetData>
  <mergeCells count="55">
    <mergeCell ref="B92:E92"/>
    <mergeCell ref="B87:E87"/>
    <mergeCell ref="B12:D12"/>
    <mergeCell ref="A1:B1"/>
    <mergeCell ref="C5:E5"/>
    <mergeCell ref="B6:D6"/>
    <mergeCell ref="B9:D9"/>
    <mergeCell ref="C11:E11"/>
    <mergeCell ref="B33:E33"/>
    <mergeCell ref="B15:C15"/>
    <mergeCell ref="B17:E17"/>
    <mergeCell ref="C18:E18"/>
    <mergeCell ref="C19:E19"/>
    <mergeCell ref="C20:E20"/>
    <mergeCell ref="C21:E21"/>
    <mergeCell ref="C22:E22"/>
    <mergeCell ref="B23:E23"/>
    <mergeCell ref="B26:E26"/>
    <mergeCell ref="B27:E27"/>
    <mergeCell ref="C56:E56"/>
    <mergeCell ref="B35:E35"/>
    <mergeCell ref="B39:C39"/>
    <mergeCell ref="B42:E42"/>
    <mergeCell ref="C43:E43"/>
    <mergeCell ref="C44:E44"/>
    <mergeCell ref="C45:E45"/>
    <mergeCell ref="B46:E46"/>
    <mergeCell ref="B48:E48"/>
    <mergeCell ref="B53:E53"/>
    <mergeCell ref="B54:B55"/>
    <mergeCell ref="C54:E55"/>
    <mergeCell ref="C36:E36"/>
    <mergeCell ref="C37:E37"/>
    <mergeCell ref="C38:E38"/>
    <mergeCell ref="B51:E51"/>
    <mergeCell ref="C57:E57"/>
    <mergeCell ref="B58:E58"/>
    <mergeCell ref="C60:E60"/>
    <mergeCell ref="C63:E63"/>
    <mergeCell ref="B67:B68"/>
    <mergeCell ref="C67:C68"/>
    <mergeCell ref="D67:D68"/>
    <mergeCell ref="E67:E68"/>
    <mergeCell ref="L67:N67"/>
    <mergeCell ref="B71:N71"/>
    <mergeCell ref="B72:F72"/>
    <mergeCell ref="B73:F73"/>
    <mergeCell ref="B74:F74"/>
    <mergeCell ref="F67:H67"/>
    <mergeCell ref="I67:K67"/>
    <mergeCell ref="B88:E88"/>
    <mergeCell ref="B76:G76"/>
    <mergeCell ref="B84:G84"/>
    <mergeCell ref="B85:G85"/>
    <mergeCell ref="B86:G86"/>
  </mergeCells>
  <pageMargins left="0.70866141732283472" right="0.70866141732283472" top="0.74803149606299213" bottom="0.74803149606299213" header="0.31496062992125984" footer="0.31496062992125984"/>
  <pageSetup paperSize="9" scale="25" fitToWidth="90" fitToHeight="2" orientation="landscape" horizontalDpi="1200" verticalDpi="1200" r:id="rId1"/>
  <rowBreaks count="1" manualBreakCount="1">
    <brk id="52" max="1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4E2EE-3946-4616-81D2-6F6430438C45}">
  <dimension ref="A1:AB104"/>
  <sheetViews>
    <sheetView view="pageBreakPreview" topLeftCell="A66" zoomScale="55" zoomScaleNormal="50" workbookViewId="0">
      <selection activeCell="C8" sqref="C8"/>
    </sheetView>
  </sheetViews>
  <sheetFormatPr defaultColWidth="8.6640625" defaultRowHeight="21" x14ac:dyDescent="0.3"/>
  <cols>
    <col min="1" max="1" width="8.6640625" style="1"/>
    <col min="2" max="2" width="52.33203125" style="1" customWidth="1"/>
    <col min="3" max="3" width="66.44140625" style="1" customWidth="1"/>
    <col min="4" max="4" width="45.88671875" style="1" customWidth="1"/>
    <col min="5" max="5" width="35.44140625" style="1" customWidth="1"/>
    <col min="6" max="6" width="15.33203125" style="1" customWidth="1"/>
    <col min="7" max="7" width="17.88671875" style="1" customWidth="1"/>
    <col min="8" max="8" width="22.6640625" style="1" customWidth="1"/>
    <col min="9" max="9" width="13.109375" style="1" customWidth="1"/>
    <col min="10" max="10" width="16" style="1" customWidth="1"/>
    <col min="11" max="11" width="13.5546875" style="1" customWidth="1"/>
    <col min="12" max="12" width="14.33203125" style="1" customWidth="1"/>
    <col min="13" max="13" width="12.33203125" style="1" customWidth="1"/>
    <col min="14" max="14" width="23.109375" style="1" customWidth="1"/>
    <col min="15" max="16384" width="8.6640625" style="1"/>
  </cols>
  <sheetData>
    <row r="1" spans="1:5" ht="20.25" customHeight="1" x14ac:dyDescent="0.3">
      <c r="A1" s="246" t="s">
        <v>0</v>
      </c>
      <c r="B1" s="246"/>
      <c r="D1" s="2"/>
    </row>
    <row r="3" spans="1:5" ht="40.799999999999997" x14ac:dyDescent="0.3">
      <c r="A3" s="3" t="s">
        <v>1</v>
      </c>
      <c r="B3" s="54" t="s">
        <v>2</v>
      </c>
      <c r="C3" s="5" t="s">
        <v>203</v>
      </c>
    </row>
    <row r="4" spans="1:5" x14ac:dyDescent="0.3">
      <c r="D4" s="22"/>
    </row>
    <row r="5" spans="1:5" x14ac:dyDescent="0.3">
      <c r="A5" s="62">
        <v>1</v>
      </c>
      <c r="B5" s="63" t="s">
        <v>3</v>
      </c>
      <c r="C5" s="247" t="s">
        <v>784</v>
      </c>
      <c r="D5" s="248"/>
      <c r="E5" s="249"/>
    </row>
    <row r="6" spans="1:5" x14ac:dyDescent="0.3">
      <c r="A6" s="3"/>
      <c r="B6" s="250" t="s">
        <v>4</v>
      </c>
      <c r="C6" s="251"/>
      <c r="D6" s="252"/>
      <c r="E6" s="10"/>
    </row>
    <row r="7" spans="1:5" x14ac:dyDescent="0.3">
      <c r="A7" s="3"/>
      <c r="B7" s="2"/>
      <c r="D7" s="22"/>
    </row>
    <row r="8" spans="1:5" x14ac:dyDescent="0.3">
      <c r="A8" s="3">
        <v>2</v>
      </c>
      <c r="B8" s="63" t="s">
        <v>5</v>
      </c>
      <c r="C8" s="12" t="s">
        <v>201</v>
      </c>
      <c r="D8" s="22"/>
    </row>
    <row r="9" spans="1:5" x14ac:dyDescent="0.3">
      <c r="A9" s="3"/>
      <c r="B9" s="250" t="s">
        <v>4</v>
      </c>
      <c r="C9" s="251"/>
      <c r="D9" s="252"/>
    </row>
    <row r="10" spans="1:5" x14ac:dyDescent="0.3">
      <c r="A10" s="3"/>
      <c r="B10" s="2"/>
      <c r="D10" s="22"/>
    </row>
    <row r="11" spans="1:5" ht="40.950000000000003" customHeight="1" x14ac:dyDescent="0.3">
      <c r="A11" s="3">
        <v>3</v>
      </c>
      <c r="B11" s="63" t="s">
        <v>6</v>
      </c>
      <c r="C11" s="247" t="s">
        <v>90</v>
      </c>
      <c r="D11" s="248"/>
      <c r="E11" s="249"/>
    </row>
    <row r="12" spans="1:5" x14ac:dyDescent="0.3">
      <c r="A12" s="3"/>
      <c r="B12" s="250" t="s">
        <v>4</v>
      </c>
      <c r="C12" s="251"/>
      <c r="D12" s="252"/>
      <c r="E12" s="10"/>
    </row>
    <row r="13" spans="1:5" x14ac:dyDescent="0.3">
      <c r="A13" s="3"/>
      <c r="B13" s="87"/>
      <c r="C13" s="87"/>
      <c r="D13" s="87"/>
      <c r="E13" s="10"/>
    </row>
    <row r="14" spans="1:5" x14ac:dyDescent="0.3">
      <c r="A14" s="3">
        <v>4</v>
      </c>
      <c r="B14" s="54" t="s">
        <v>92</v>
      </c>
      <c r="C14" s="247" t="s">
        <v>90</v>
      </c>
      <c r="D14" s="248"/>
      <c r="E14" s="249"/>
    </row>
    <row r="15" spans="1:5" x14ac:dyDescent="0.3">
      <c r="A15" s="3"/>
      <c r="B15" s="2"/>
      <c r="D15" s="22"/>
    </row>
    <row r="16" spans="1:5" x14ac:dyDescent="0.3">
      <c r="A16" s="3">
        <v>5</v>
      </c>
      <c r="B16" s="54" t="s">
        <v>7</v>
      </c>
      <c r="C16" s="5" t="s">
        <v>202</v>
      </c>
      <c r="D16" s="22"/>
    </row>
    <row r="17" spans="1:14" x14ac:dyDescent="0.3">
      <c r="A17" s="3"/>
      <c r="B17" s="253" t="s">
        <v>8</v>
      </c>
      <c r="C17" s="254"/>
      <c r="D17" s="22"/>
    </row>
    <row r="18" spans="1:14" x14ac:dyDescent="0.3">
      <c r="A18" s="3"/>
      <c r="D18" s="22"/>
    </row>
    <row r="19" spans="1:14" x14ac:dyDescent="0.3">
      <c r="A19" s="3">
        <v>6</v>
      </c>
      <c r="B19" s="255" t="s">
        <v>9</v>
      </c>
      <c r="C19" s="256"/>
      <c r="D19" s="256"/>
      <c r="E19" s="257"/>
      <c r="F19" s="2"/>
      <c r="G19" s="2"/>
      <c r="H19" s="2"/>
      <c r="I19" s="2"/>
      <c r="J19" s="10"/>
      <c r="K19" s="10"/>
      <c r="L19" s="10"/>
      <c r="M19" s="10"/>
      <c r="N19" s="10"/>
    </row>
    <row r="20" spans="1:14" x14ac:dyDescent="0.3">
      <c r="A20" s="3"/>
      <c r="B20" s="65" t="s">
        <v>10</v>
      </c>
      <c r="C20" s="243" t="s">
        <v>11</v>
      </c>
      <c r="D20" s="244"/>
      <c r="E20" s="245"/>
      <c r="F20" s="66"/>
      <c r="G20" s="10"/>
      <c r="H20" s="10"/>
      <c r="I20" s="10"/>
      <c r="J20" s="10"/>
      <c r="K20" s="10"/>
      <c r="L20" s="10"/>
      <c r="M20" s="10"/>
      <c r="N20" s="10"/>
    </row>
    <row r="21" spans="1:14" ht="61.2" x14ac:dyDescent="0.3">
      <c r="A21" s="3"/>
      <c r="B21" s="65" t="s">
        <v>204</v>
      </c>
      <c r="C21" s="430" t="s">
        <v>11</v>
      </c>
      <c r="D21" s="431"/>
      <c r="E21" s="432"/>
      <c r="F21" s="66"/>
      <c r="G21" s="10"/>
      <c r="I21" s="10"/>
      <c r="J21" s="10"/>
      <c r="K21" s="10"/>
      <c r="L21" s="10"/>
      <c r="M21" s="10"/>
      <c r="N21" s="10"/>
    </row>
    <row r="22" spans="1:14" x14ac:dyDescent="0.3">
      <c r="A22" s="3"/>
      <c r="B22" s="65" t="s">
        <v>205</v>
      </c>
      <c r="C22" s="430" t="s">
        <v>11</v>
      </c>
      <c r="D22" s="431"/>
      <c r="E22" s="432"/>
      <c r="F22" s="66"/>
      <c r="G22" s="10"/>
      <c r="H22" s="10"/>
      <c r="I22" s="10"/>
      <c r="J22" s="10"/>
      <c r="K22" s="10"/>
      <c r="L22" s="10"/>
      <c r="M22" s="10"/>
      <c r="N22" s="10"/>
    </row>
    <row r="23" spans="1:14" x14ac:dyDescent="0.3">
      <c r="A23" s="3"/>
      <c r="B23" s="64" t="s">
        <v>13</v>
      </c>
      <c r="C23" s="430" t="s">
        <v>11</v>
      </c>
      <c r="D23" s="431"/>
      <c r="E23" s="432"/>
      <c r="F23" s="66"/>
      <c r="G23" s="10"/>
      <c r="H23" s="10"/>
      <c r="I23" s="10"/>
      <c r="J23" s="10"/>
      <c r="K23" s="10"/>
      <c r="L23" s="10"/>
      <c r="M23" s="10"/>
      <c r="N23" s="10"/>
    </row>
    <row r="24" spans="1:14" x14ac:dyDescent="0.3">
      <c r="A24" s="3"/>
      <c r="B24" s="67" t="s">
        <v>14</v>
      </c>
      <c r="C24" s="430" t="s">
        <v>11</v>
      </c>
      <c r="D24" s="431"/>
      <c r="E24" s="432"/>
      <c r="F24" s="66"/>
      <c r="G24" s="10"/>
      <c r="H24" s="10"/>
      <c r="I24" s="10"/>
      <c r="J24" s="10"/>
      <c r="K24" s="10"/>
      <c r="L24" s="10"/>
      <c r="M24" s="10"/>
      <c r="N24" s="10"/>
    </row>
    <row r="25" spans="1:14" ht="40.5" customHeight="1" x14ac:dyDescent="0.3">
      <c r="A25" s="3"/>
      <c r="B25" s="271" t="s">
        <v>785</v>
      </c>
      <c r="C25" s="271"/>
      <c r="D25" s="271"/>
      <c r="E25" s="271"/>
      <c r="F25" s="66"/>
      <c r="G25" s="10"/>
      <c r="H25" s="10"/>
      <c r="I25" s="10"/>
      <c r="J25" s="10"/>
      <c r="K25" s="10"/>
      <c r="L25" s="10"/>
      <c r="M25" s="10"/>
      <c r="N25" s="10"/>
    </row>
    <row r="26" spans="1:14" ht="40.950000000000003" customHeight="1" x14ac:dyDescent="0.3">
      <c r="A26" s="3"/>
      <c r="B26" s="433" t="s">
        <v>740</v>
      </c>
      <c r="C26" s="433"/>
      <c r="D26" s="66"/>
      <c r="E26" s="66"/>
      <c r="F26" s="66"/>
      <c r="G26" s="10"/>
      <c r="H26" s="10"/>
      <c r="I26" s="10"/>
      <c r="J26" s="10"/>
      <c r="K26" s="10"/>
      <c r="L26" s="10"/>
      <c r="M26" s="10"/>
      <c r="N26" s="10"/>
    </row>
    <row r="27" spans="1:14" x14ac:dyDescent="0.3">
      <c r="A27" s="3"/>
      <c r="B27" s="66"/>
      <c r="C27" s="66"/>
      <c r="D27" s="66"/>
      <c r="E27" s="66"/>
      <c r="F27" s="66"/>
      <c r="G27" s="10"/>
      <c r="H27" s="10"/>
      <c r="I27" s="10"/>
      <c r="J27" s="10"/>
      <c r="K27" s="10"/>
      <c r="L27" s="10"/>
      <c r="M27" s="10"/>
      <c r="N27" s="10"/>
    </row>
    <row r="28" spans="1:14" ht="47.4" customHeight="1" x14ac:dyDescent="0.3">
      <c r="A28" s="3">
        <v>7</v>
      </c>
      <c r="B28" s="261" t="s">
        <v>649</v>
      </c>
      <c r="C28" s="262"/>
      <c r="D28" s="262"/>
      <c r="E28" s="263"/>
      <c r="F28" s="2"/>
      <c r="G28" s="2"/>
      <c r="H28" s="10"/>
      <c r="I28" s="2"/>
      <c r="J28" s="2"/>
    </row>
    <row r="29" spans="1:14" x14ac:dyDescent="0.3">
      <c r="A29" s="3"/>
      <c r="B29" s="264" t="s">
        <v>17</v>
      </c>
      <c r="C29" s="265"/>
      <c r="D29" s="265"/>
      <c r="E29" s="266"/>
      <c r="F29" s="66"/>
    </row>
    <row r="30" spans="1:14" x14ac:dyDescent="0.3">
      <c r="A30" s="3"/>
      <c r="B30" s="67" t="s">
        <v>18</v>
      </c>
      <c r="C30" s="25" t="s">
        <v>77</v>
      </c>
      <c r="D30" s="25" t="s">
        <v>19</v>
      </c>
      <c r="E30" s="25" t="s">
        <v>20</v>
      </c>
      <c r="F30" s="66"/>
    </row>
    <row r="31" spans="1:14" ht="21" customHeight="1" x14ac:dyDescent="0.3">
      <c r="A31" s="3"/>
      <c r="B31" s="68" t="s">
        <v>21</v>
      </c>
      <c r="C31" s="5">
        <v>1243.03</v>
      </c>
      <c r="D31" s="175">
        <v>1099.46</v>
      </c>
      <c r="E31" s="5">
        <v>983.47</v>
      </c>
      <c r="F31" s="66"/>
    </row>
    <row r="32" spans="1:14" x14ac:dyDescent="0.3">
      <c r="A32" s="3"/>
      <c r="B32" s="68" t="s">
        <v>23</v>
      </c>
      <c r="C32" s="5">
        <v>100.7</v>
      </c>
      <c r="D32" s="5">
        <v>-233.12</v>
      </c>
      <c r="E32" s="5">
        <v>-50.83</v>
      </c>
      <c r="F32" s="66"/>
    </row>
    <row r="33" spans="1:10" x14ac:dyDescent="0.3">
      <c r="A33" s="3"/>
      <c r="B33" s="68" t="s">
        <v>24</v>
      </c>
      <c r="C33" s="5">
        <v>224.08</v>
      </c>
      <c r="D33" s="5">
        <v>224.08</v>
      </c>
      <c r="E33" s="5">
        <v>896.32</v>
      </c>
      <c r="F33" s="66"/>
      <c r="H33" s="57"/>
    </row>
    <row r="34" spans="1:10" x14ac:dyDescent="0.3">
      <c r="A34" s="3"/>
      <c r="B34" s="68" t="s">
        <v>25</v>
      </c>
      <c r="C34" s="5">
        <v>1016.39</v>
      </c>
      <c r="D34" s="5">
        <v>783.27</v>
      </c>
      <c r="E34" s="5">
        <v>60.2</v>
      </c>
      <c r="F34" s="66"/>
    </row>
    <row r="35" spans="1:10" x14ac:dyDescent="0.3">
      <c r="A35" s="3"/>
      <c r="B35" s="253"/>
      <c r="C35" s="270"/>
      <c r="D35" s="270"/>
      <c r="E35" s="254"/>
      <c r="F35" s="66"/>
    </row>
    <row r="36" spans="1:10" x14ac:dyDescent="0.3">
      <c r="A36" s="3"/>
      <c r="B36" s="10"/>
      <c r="C36" s="66"/>
      <c r="D36" s="66"/>
      <c r="E36" s="66"/>
      <c r="F36" s="66"/>
    </row>
    <row r="37" spans="1:10" ht="45" customHeight="1" x14ac:dyDescent="0.3">
      <c r="A37" s="3">
        <v>8</v>
      </c>
      <c r="B37" s="261" t="s">
        <v>26</v>
      </c>
      <c r="C37" s="262"/>
      <c r="D37" s="262"/>
      <c r="E37" s="263"/>
      <c r="F37" s="2"/>
      <c r="G37" s="2"/>
      <c r="H37" s="2"/>
      <c r="I37" s="2"/>
      <c r="J37" s="2"/>
    </row>
    <row r="38" spans="1:10" x14ac:dyDescent="0.3">
      <c r="A38" s="3"/>
      <c r="B38" s="67" t="s">
        <v>27</v>
      </c>
      <c r="C38" s="27" t="s">
        <v>86</v>
      </c>
      <c r="D38" s="10"/>
      <c r="E38" s="10"/>
      <c r="F38" s="10"/>
    </row>
    <row r="39" spans="1:10" x14ac:dyDescent="0.3">
      <c r="A39" s="3"/>
      <c r="B39" s="67" t="s">
        <v>28</v>
      </c>
      <c r="C39" s="27" t="s">
        <v>93</v>
      </c>
      <c r="D39" s="10"/>
      <c r="E39" s="10"/>
      <c r="F39" s="10"/>
    </row>
    <row r="40" spans="1:10" x14ac:dyDescent="0.3">
      <c r="A40" s="3"/>
      <c r="B40" s="67" t="s">
        <v>29</v>
      </c>
      <c r="C40" s="27" t="s">
        <v>455</v>
      </c>
      <c r="D40" s="10"/>
      <c r="E40" s="10"/>
      <c r="F40" s="10"/>
    </row>
    <row r="41" spans="1:10" x14ac:dyDescent="0.3">
      <c r="A41" s="3"/>
      <c r="C41" s="10"/>
      <c r="D41" s="10"/>
      <c r="E41" s="10"/>
      <c r="F41" s="10"/>
    </row>
    <row r="42" spans="1:10" x14ac:dyDescent="0.3">
      <c r="A42" s="3"/>
      <c r="B42" s="66"/>
      <c r="C42" s="10"/>
      <c r="D42" s="10"/>
      <c r="E42" s="10"/>
      <c r="F42" s="10"/>
    </row>
    <row r="43" spans="1:10" x14ac:dyDescent="0.3">
      <c r="A43" s="3">
        <v>9</v>
      </c>
      <c r="B43" s="261" t="s">
        <v>30</v>
      </c>
      <c r="C43" s="262"/>
      <c r="D43" s="262"/>
      <c r="E43" s="263"/>
      <c r="F43" s="2"/>
      <c r="G43" s="2"/>
      <c r="H43" s="2"/>
      <c r="I43" s="2"/>
      <c r="J43" s="2"/>
    </row>
    <row r="44" spans="1:10" x14ac:dyDescent="0.3">
      <c r="A44" s="3"/>
      <c r="B44" s="67" t="s">
        <v>31</v>
      </c>
      <c r="C44" s="397" t="s">
        <v>121</v>
      </c>
      <c r="D44" s="398"/>
      <c r="E44" s="399"/>
      <c r="F44" s="10"/>
    </row>
    <row r="45" spans="1:10" ht="63" customHeight="1" x14ac:dyDescent="0.3">
      <c r="A45" s="3"/>
      <c r="B45" s="67" t="s">
        <v>28</v>
      </c>
      <c r="C45" s="258" t="s">
        <v>550</v>
      </c>
      <c r="D45" s="259"/>
      <c r="E45" s="260"/>
      <c r="F45" s="10"/>
    </row>
    <row r="46" spans="1:10" x14ac:dyDescent="0.3">
      <c r="A46" s="3"/>
      <c r="B46" s="67" t="s">
        <v>29</v>
      </c>
      <c r="C46" s="258" t="s">
        <v>650</v>
      </c>
      <c r="D46" s="259"/>
      <c r="E46" s="260"/>
      <c r="F46" s="10"/>
    </row>
    <row r="47" spans="1:10" x14ac:dyDescent="0.3">
      <c r="A47" s="3"/>
      <c r="B47" s="253"/>
      <c r="C47" s="270"/>
      <c r="D47" s="270"/>
      <c r="E47" s="254"/>
      <c r="F47" s="10"/>
    </row>
    <row r="48" spans="1:10" x14ac:dyDescent="0.3">
      <c r="A48" s="3"/>
      <c r="D48" s="22"/>
      <c r="E48" s="10"/>
    </row>
    <row r="49" spans="1:14" ht="40.5" customHeight="1" x14ac:dyDescent="0.3">
      <c r="A49" s="191">
        <v>10</v>
      </c>
      <c r="B49" s="262" t="s">
        <v>32</v>
      </c>
      <c r="C49" s="262"/>
      <c r="D49" s="262"/>
      <c r="E49" s="263"/>
      <c r="F49" s="2"/>
      <c r="G49" s="2"/>
      <c r="H49" s="2"/>
      <c r="I49" s="2"/>
    </row>
    <row r="50" spans="1:14" ht="40.799999999999997" x14ac:dyDescent="0.3">
      <c r="A50" s="191"/>
      <c r="B50" s="24" t="s">
        <v>33</v>
      </c>
      <c r="C50" s="25" t="s">
        <v>34</v>
      </c>
      <c r="D50" s="25" t="s">
        <v>88</v>
      </c>
      <c r="E50" s="25" t="s">
        <v>35</v>
      </c>
    </row>
    <row r="51" spans="1:14" ht="193.95" customHeight="1" x14ac:dyDescent="0.3">
      <c r="A51" s="191"/>
      <c r="B51" s="189" t="s">
        <v>211</v>
      </c>
      <c r="C51" s="27" t="s">
        <v>212</v>
      </c>
      <c r="D51" s="27" t="s">
        <v>589</v>
      </c>
      <c r="E51" s="27" t="s">
        <v>50</v>
      </c>
    </row>
    <row r="52" spans="1:14" x14ac:dyDescent="0.3">
      <c r="A52" s="191"/>
      <c r="B52" s="270"/>
      <c r="C52" s="270"/>
      <c r="D52" s="270"/>
      <c r="E52" s="254"/>
    </row>
    <row r="53" spans="1:14" x14ac:dyDescent="0.3">
      <c r="A53" s="191"/>
      <c r="B53" s="103" t="s">
        <v>786</v>
      </c>
      <c r="C53" s="89"/>
      <c r="D53" s="89"/>
      <c r="E53" s="89"/>
    </row>
    <row r="54" spans="1:14" x14ac:dyDescent="0.3">
      <c r="A54" s="191"/>
      <c r="B54" s="28"/>
      <c r="C54" s="22"/>
      <c r="D54" s="22"/>
      <c r="E54" s="22"/>
      <c r="F54" s="66"/>
      <c r="G54" s="66"/>
      <c r="H54" s="66"/>
      <c r="I54" s="66"/>
    </row>
    <row r="55" spans="1:14" ht="48" customHeight="1" x14ac:dyDescent="0.3">
      <c r="A55" s="191">
        <v>11</v>
      </c>
      <c r="B55" s="262" t="s">
        <v>32</v>
      </c>
      <c r="C55" s="262"/>
      <c r="D55" s="262"/>
      <c r="E55" s="263"/>
      <c r="F55" s="66"/>
      <c r="G55" s="66"/>
      <c r="H55" s="66"/>
    </row>
    <row r="56" spans="1:14" x14ac:dyDescent="0.3">
      <c r="A56" s="191"/>
      <c r="B56" s="275" t="s">
        <v>36</v>
      </c>
      <c r="C56" s="277" t="s">
        <v>214</v>
      </c>
      <c r="D56" s="278"/>
      <c r="E56" s="279"/>
      <c r="K56" s="2"/>
    </row>
    <row r="57" spans="1:14" ht="78.599999999999994" customHeight="1" x14ac:dyDescent="0.3">
      <c r="A57" s="191"/>
      <c r="B57" s="276"/>
      <c r="C57" s="280"/>
      <c r="D57" s="281"/>
      <c r="E57" s="282"/>
      <c r="K57" s="2"/>
    </row>
    <row r="58" spans="1:14" ht="91.2" customHeight="1" x14ac:dyDescent="0.3">
      <c r="A58" s="191"/>
      <c r="B58" s="29" t="s">
        <v>37</v>
      </c>
      <c r="C58" s="283" t="s">
        <v>590</v>
      </c>
      <c r="D58" s="284"/>
      <c r="E58" s="285"/>
    </row>
    <row r="59" spans="1:14" x14ac:dyDescent="0.3">
      <c r="A59" s="191"/>
      <c r="B59" s="29" t="s">
        <v>38</v>
      </c>
      <c r="C59" s="391" t="s">
        <v>121</v>
      </c>
      <c r="D59" s="392"/>
      <c r="E59" s="393"/>
      <c r="K59" s="30"/>
    </row>
    <row r="60" spans="1:14" s="32" customFormat="1" x14ac:dyDescent="0.4">
      <c r="A60" s="111" t="s">
        <v>39</v>
      </c>
      <c r="B60" s="290" t="s">
        <v>787</v>
      </c>
      <c r="C60" s="290"/>
      <c r="D60" s="290"/>
      <c r="E60" s="291"/>
    </row>
    <row r="61" spans="1:14" x14ac:dyDescent="0.3">
      <c r="A61" s="71"/>
      <c r="B61" s="253"/>
      <c r="C61" s="270"/>
      <c r="D61" s="270"/>
      <c r="E61" s="254"/>
      <c r="F61" s="73"/>
    </row>
    <row r="62" spans="1:14" x14ac:dyDescent="0.3">
      <c r="A62" s="3">
        <v>12</v>
      </c>
      <c r="B62" s="54" t="s">
        <v>41</v>
      </c>
      <c r="C62" s="307" t="s">
        <v>121</v>
      </c>
      <c r="D62" s="308"/>
      <c r="E62" s="249"/>
      <c r="F62" s="2"/>
      <c r="G62" s="2"/>
      <c r="H62" s="74"/>
      <c r="I62" s="2"/>
      <c r="J62" s="2"/>
    </row>
    <row r="63" spans="1:14" x14ac:dyDescent="0.3">
      <c r="A63" s="3"/>
      <c r="B63" s="66"/>
      <c r="C63" s="66"/>
      <c r="D63" s="66"/>
      <c r="E63" s="66"/>
      <c r="F63" s="66"/>
      <c r="G63" s="66"/>
      <c r="H63" s="75"/>
      <c r="I63" s="75"/>
      <c r="J63" s="66"/>
    </row>
    <row r="64" spans="1:14" s="42" customFormat="1" x14ac:dyDescent="0.3">
      <c r="A64" s="76">
        <v>13</v>
      </c>
      <c r="B64" s="77" t="s">
        <v>42</v>
      </c>
      <c r="C64" s="272"/>
      <c r="D64" s="273"/>
      <c r="E64" s="274"/>
      <c r="F64" s="78"/>
      <c r="G64" s="79"/>
      <c r="H64" s="79"/>
      <c r="I64" s="79"/>
      <c r="J64" s="79"/>
      <c r="K64" s="79"/>
      <c r="L64" s="79"/>
      <c r="M64" s="79"/>
      <c r="N64" s="79"/>
    </row>
    <row r="65" spans="1:14" x14ac:dyDescent="0.3">
      <c r="A65" s="3"/>
      <c r="B65" s="2"/>
      <c r="C65" s="2"/>
      <c r="D65" s="2"/>
      <c r="E65" s="74"/>
      <c r="F65" s="74"/>
      <c r="G65" s="74"/>
      <c r="H65" s="2"/>
      <c r="I65" s="2"/>
      <c r="J65" s="2"/>
      <c r="K65" s="2"/>
      <c r="L65" s="2"/>
      <c r="M65" s="2"/>
      <c r="N65" s="2"/>
    </row>
    <row r="66" spans="1:14" x14ac:dyDescent="0.3">
      <c r="A66" s="3"/>
      <c r="B66" s="67" t="s">
        <v>43</v>
      </c>
      <c r="C66" s="68" t="s">
        <v>215</v>
      </c>
      <c r="D66" s="66"/>
      <c r="E66" s="66"/>
      <c r="F66" s="75"/>
      <c r="G66" s="75"/>
      <c r="H66" s="66"/>
      <c r="I66" s="66"/>
      <c r="J66" s="66"/>
      <c r="K66" s="66"/>
      <c r="L66" s="66"/>
      <c r="M66" s="66"/>
      <c r="N66" s="66"/>
    </row>
    <row r="67" spans="1:14" ht="51.6" customHeight="1" x14ac:dyDescent="0.3">
      <c r="A67" s="3"/>
      <c r="B67" s="66"/>
      <c r="C67" s="66"/>
      <c r="D67" s="66"/>
      <c r="E67" s="66"/>
      <c r="F67" s="66"/>
      <c r="G67" s="66"/>
      <c r="H67" s="66"/>
      <c r="I67" s="66"/>
      <c r="J67" s="66"/>
      <c r="K67" s="66"/>
      <c r="L67" s="66"/>
      <c r="M67" s="66"/>
      <c r="N67" s="66"/>
    </row>
    <row r="68" spans="1:14" ht="68.400000000000006" customHeight="1" x14ac:dyDescent="0.3">
      <c r="A68" s="3"/>
      <c r="B68" s="295" t="s">
        <v>44</v>
      </c>
      <c r="C68" s="295" t="s">
        <v>217</v>
      </c>
      <c r="D68" s="295" t="s">
        <v>68</v>
      </c>
      <c r="E68" s="297" t="s">
        <v>45</v>
      </c>
      <c r="F68" s="292" t="s">
        <v>98</v>
      </c>
      <c r="G68" s="293"/>
      <c r="H68" s="294"/>
      <c r="I68" s="292" t="s">
        <v>122</v>
      </c>
      <c r="J68" s="293"/>
      <c r="K68" s="294"/>
      <c r="L68" s="292" t="s">
        <v>216</v>
      </c>
      <c r="M68" s="293"/>
      <c r="N68" s="294"/>
    </row>
    <row r="69" spans="1:14" ht="61.2" x14ac:dyDescent="0.3">
      <c r="A69" s="3"/>
      <c r="B69" s="296"/>
      <c r="C69" s="296"/>
      <c r="D69" s="296"/>
      <c r="E69" s="298"/>
      <c r="F69" s="67" t="s">
        <v>46</v>
      </c>
      <c r="G69" s="67" t="s">
        <v>47</v>
      </c>
      <c r="H69" s="67" t="s">
        <v>48</v>
      </c>
      <c r="I69" s="67" t="s">
        <v>49</v>
      </c>
      <c r="J69" s="67" t="s">
        <v>47</v>
      </c>
      <c r="K69" s="67" t="s">
        <v>48</v>
      </c>
      <c r="L69" s="67" t="s">
        <v>49</v>
      </c>
      <c r="M69" s="67" t="s">
        <v>47</v>
      </c>
      <c r="N69" s="67" t="s">
        <v>48</v>
      </c>
    </row>
    <row r="70" spans="1:14" ht="105" customHeight="1" x14ac:dyDescent="0.3">
      <c r="A70" s="3"/>
      <c r="B70" s="67" t="s">
        <v>776</v>
      </c>
      <c r="C70" s="81">
        <v>127.85</v>
      </c>
      <c r="D70" s="82">
        <v>107.5</v>
      </c>
      <c r="E70" s="82">
        <v>76.099999999999994</v>
      </c>
      <c r="F70" s="82">
        <v>79</v>
      </c>
      <c r="G70" s="82">
        <v>132.85</v>
      </c>
      <c r="H70" s="82">
        <v>68.05</v>
      </c>
      <c r="I70" s="121">
        <v>120</v>
      </c>
      <c r="J70" s="121">
        <v>150</v>
      </c>
      <c r="K70" s="121">
        <v>79.05</v>
      </c>
      <c r="L70" s="121">
        <v>25.5</v>
      </c>
      <c r="M70" s="121">
        <v>207.35</v>
      </c>
      <c r="N70" s="121">
        <v>25.5</v>
      </c>
    </row>
    <row r="71" spans="1:14" ht="40.799999999999997" x14ac:dyDescent="0.3">
      <c r="A71" s="3"/>
      <c r="B71" s="69" t="s">
        <v>67</v>
      </c>
      <c r="C71" s="82">
        <v>17086.25</v>
      </c>
      <c r="D71" s="82">
        <v>17110.150000000001</v>
      </c>
      <c r="E71" s="82">
        <v>17153</v>
      </c>
      <c r="F71" s="82">
        <v>17464.75</v>
      </c>
      <c r="G71" s="82">
        <v>18604.45</v>
      </c>
      <c r="H71" s="82">
        <v>14151.400390999999</v>
      </c>
      <c r="I71" s="121">
        <v>22326.9</v>
      </c>
      <c r="J71" s="81">
        <v>22526.6</v>
      </c>
      <c r="K71" s="121">
        <v>17312.75</v>
      </c>
      <c r="L71" s="121">
        <v>23519.35</v>
      </c>
      <c r="M71" s="121">
        <v>26277.35</v>
      </c>
      <c r="N71" s="121">
        <v>21281.45</v>
      </c>
    </row>
    <row r="72" spans="1:14" x14ac:dyDescent="0.3">
      <c r="A72" s="3"/>
      <c r="B72" s="253" t="s">
        <v>99</v>
      </c>
      <c r="C72" s="270"/>
      <c r="D72" s="270"/>
      <c r="E72" s="270"/>
      <c r="F72" s="270"/>
      <c r="G72" s="270"/>
      <c r="H72" s="270"/>
      <c r="I72" s="270"/>
      <c r="J72" s="270"/>
      <c r="K72" s="270"/>
      <c r="L72" s="270"/>
      <c r="M72" s="270"/>
      <c r="N72" s="254"/>
    </row>
    <row r="73" spans="1:14" x14ac:dyDescent="0.3">
      <c r="A73" s="3"/>
      <c r="B73" s="253" t="s">
        <v>777</v>
      </c>
      <c r="C73" s="270"/>
      <c r="D73" s="270"/>
      <c r="E73" s="270"/>
      <c r="F73" s="254"/>
      <c r="G73" s="83"/>
      <c r="H73" s="83"/>
      <c r="I73" s="83"/>
      <c r="J73" s="83"/>
      <c r="K73" s="83"/>
      <c r="L73" s="83"/>
      <c r="M73" s="83"/>
      <c r="N73" s="83"/>
    </row>
    <row r="74" spans="1:14" ht="41.25" customHeight="1" x14ac:dyDescent="0.3">
      <c r="A74" s="3"/>
      <c r="B74" s="253" t="s">
        <v>755</v>
      </c>
      <c r="C74" s="270"/>
      <c r="D74" s="270"/>
      <c r="E74" s="270"/>
      <c r="F74" s="254"/>
      <c r="G74" s="83"/>
      <c r="H74" s="83"/>
      <c r="I74" s="83"/>
      <c r="J74" s="83"/>
      <c r="K74" s="83"/>
      <c r="L74" s="83"/>
      <c r="M74" s="83"/>
      <c r="N74" s="83"/>
    </row>
    <row r="75" spans="1:14" x14ac:dyDescent="0.3">
      <c r="A75" s="3"/>
      <c r="B75" s="253" t="s">
        <v>71</v>
      </c>
      <c r="C75" s="270"/>
      <c r="D75" s="270"/>
      <c r="E75" s="270"/>
      <c r="F75" s="254"/>
      <c r="G75" s="83"/>
      <c r="H75" s="83"/>
      <c r="I75" s="83"/>
      <c r="J75" s="83"/>
      <c r="K75" s="83"/>
      <c r="L75" s="83"/>
      <c r="M75" s="83"/>
      <c r="N75" s="83"/>
    </row>
    <row r="76" spans="1:14" ht="40.5" customHeight="1" x14ac:dyDescent="0.3">
      <c r="A76" s="3"/>
      <c r="B76" s="308" t="s">
        <v>788</v>
      </c>
      <c r="C76" s="308"/>
      <c r="D76" s="308"/>
      <c r="E76" s="308"/>
      <c r="F76" s="308"/>
      <c r="G76" s="10"/>
      <c r="H76" s="10"/>
      <c r="I76" s="10"/>
      <c r="J76" s="10"/>
      <c r="K76" s="10"/>
      <c r="L76" s="10"/>
      <c r="M76" s="10"/>
      <c r="N76" s="10"/>
    </row>
    <row r="77" spans="1:14" ht="49.5" customHeight="1" x14ac:dyDescent="0.3">
      <c r="A77" s="3">
        <v>14</v>
      </c>
      <c r="B77" s="261" t="s">
        <v>51</v>
      </c>
      <c r="C77" s="262"/>
      <c r="D77" s="262"/>
      <c r="E77" s="262"/>
      <c r="F77" s="262"/>
      <c r="G77" s="263"/>
      <c r="H77" s="2"/>
      <c r="I77" s="2"/>
      <c r="J77" s="2"/>
      <c r="K77" s="2"/>
      <c r="L77" s="2"/>
      <c r="M77" s="2"/>
      <c r="N77" s="2"/>
    </row>
    <row r="79" spans="1:14" ht="40.799999999999997" x14ac:dyDescent="0.3">
      <c r="B79" s="25" t="s">
        <v>52</v>
      </c>
      <c r="C79" s="25" t="s">
        <v>53</v>
      </c>
      <c r="D79" s="25" t="s">
        <v>80</v>
      </c>
      <c r="E79" s="25" t="s">
        <v>54</v>
      </c>
      <c r="F79" s="25" t="s">
        <v>55</v>
      </c>
      <c r="G79" s="25" t="s">
        <v>56</v>
      </c>
    </row>
    <row r="80" spans="1:14" ht="57" customHeight="1" x14ac:dyDescent="0.4">
      <c r="B80" s="310" t="s">
        <v>72</v>
      </c>
      <c r="C80" s="54" t="s">
        <v>651</v>
      </c>
      <c r="D80" s="48">
        <v>7.73</v>
      </c>
      <c r="E80" s="132">
        <v>6.46</v>
      </c>
      <c r="F80" s="132">
        <v>-10.06</v>
      </c>
      <c r="G80" s="132">
        <v>0.03</v>
      </c>
    </row>
    <row r="81" spans="2:28" x14ac:dyDescent="0.3">
      <c r="B81" s="310"/>
      <c r="C81" s="54" t="s">
        <v>57</v>
      </c>
      <c r="D81" s="52" t="s">
        <v>121</v>
      </c>
      <c r="E81" s="52" t="s">
        <v>121</v>
      </c>
      <c r="F81" s="132" t="s">
        <v>121</v>
      </c>
      <c r="G81" s="132" t="s">
        <v>121</v>
      </c>
    </row>
    <row r="82" spans="2:28" x14ac:dyDescent="0.3">
      <c r="B82" s="310"/>
      <c r="C82" s="5"/>
      <c r="D82" s="50"/>
      <c r="E82" s="132"/>
      <c r="F82" s="132"/>
      <c r="G82" s="132"/>
    </row>
    <row r="83" spans="2:28" x14ac:dyDescent="0.3">
      <c r="B83" s="310"/>
      <c r="C83" s="54" t="s">
        <v>58</v>
      </c>
      <c r="D83" s="52" t="s">
        <v>121</v>
      </c>
      <c r="E83" s="52" t="s">
        <v>121</v>
      </c>
      <c r="F83" s="132" t="s">
        <v>121</v>
      </c>
      <c r="G83" s="132" t="s">
        <v>121</v>
      </c>
    </row>
    <row r="84" spans="2:28" ht="20.7" customHeight="1" x14ac:dyDescent="0.4">
      <c r="B84" s="310" t="s">
        <v>59</v>
      </c>
      <c r="C84" s="54" t="s">
        <v>218</v>
      </c>
      <c r="D84" s="53">
        <v>19.78</v>
      </c>
      <c r="E84" s="85">
        <v>12.23</v>
      </c>
      <c r="F84" s="132">
        <v>-11.92</v>
      </c>
      <c r="G84" s="132">
        <f>Z84/G80</f>
        <v>850</v>
      </c>
      <c r="Z84" s="1">
        <v>25.5</v>
      </c>
    </row>
    <row r="85" spans="2:28" x14ac:dyDescent="0.3">
      <c r="B85" s="310"/>
      <c r="C85" s="54" t="s">
        <v>57</v>
      </c>
      <c r="D85" s="52" t="s">
        <v>121</v>
      </c>
      <c r="E85" s="52" t="s">
        <v>121</v>
      </c>
      <c r="F85" s="132" t="s">
        <v>121</v>
      </c>
      <c r="G85" s="132" t="s">
        <v>121</v>
      </c>
    </row>
    <row r="86" spans="2:28" x14ac:dyDescent="0.3">
      <c r="B86" s="310"/>
      <c r="C86" s="5"/>
      <c r="D86" s="50"/>
      <c r="E86" s="85"/>
      <c r="F86" s="132"/>
      <c r="G86" s="132"/>
    </row>
    <row r="87" spans="2:28" ht="42" x14ac:dyDescent="0.3">
      <c r="B87" s="310"/>
      <c r="C87" s="54" t="s">
        <v>58</v>
      </c>
      <c r="D87" s="52" t="s">
        <v>50</v>
      </c>
      <c r="E87" s="52" t="s">
        <v>121</v>
      </c>
      <c r="F87" s="132" t="s">
        <v>121</v>
      </c>
      <c r="G87" s="132" t="s">
        <v>121</v>
      </c>
      <c r="Z87" s="1" t="s">
        <v>652</v>
      </c>
      <c r="AA87" s="1" t="s">
        <v>645</v>
      </c>
    </row>
    <row r="88" spans="2:28" ht="20.7" customHeight="1" x14ac:dyDescent="0.4">
      <c r="B88" s="310" t="s">
        <v>60</v>
      </c>
      <c r="C88" s="54" t="s">
        <v>218</v>
      </c>
      <c r="D88" s="95">
        <v>0.75539999999999996</v>
      </c>
      <c r="E88" s="109">
        <v>8.1100000000000005E-2</v>
      </c>
      <c r="F88" s="109">
        <v>-0.222</v>
      </c>
      <c r="G88" s="109">
        <f>Z88/AA88</f>
        <v>-5.3140551164638478E-2</v>
      </c>
      <c r="Z88" s="1">
        <v>-50.83</v>
      </c>
      <c r="AA88" s="1">
        <v>956.52</v>
      </c>
      <c r="AB88" s="1">
        <v>95652000</v>
      </c>
    </row>
    <row r="89" spans="2:28" x14ac:dyDescent="0.3">
      <c r="B89" s="310"/>
      <c r="C89" s="54" t="s">
        <v>57</v>
      </c>
      <c r="D89" s="52" t="s">
        <v>121</v>
      </c>
      <c r="E89" s="52" t="s">
        <v>121</v>
      </c>
      <c r="F89" s="132" t="s">
        <v>121</v>
      </c>
      <c r="G89" s="132" t="s">
        <v>121</v>
      </c>
    </row>
    <row r="90" spans="2:28" x14ac:dyDescent="0.3">
      <c r="B90" s="310"/>
      <c r="C90" s="5"/>
      <c r="D90" s="50"/>
      <c r="E90" s="132"/>
      <c r="F90" s="132"/>
      <c r="G90" s="132"/>
    </row>
    <row r="91" spans="2:28" x14ac:dyDescent="0.3">
      <c r="B91" s="310"/>
      <c r="C91" s="54" t="s">
        <v>58</v>
      </c>
      <c r="D91" s="52" t="s">
        <v>50</v>
      </c>
      <c r="E91" s="52" t="s">
        <v>121</v>
      </c>
      <c r="F91" s="132" t="s">
        <v>121</v>
      </c>
      <c r="G91" s="132" t="s">
        <v>121</v>
      </c>
    </row>
    <row r="92" spans="2:28" ht="20.7" customHeight="1" x14ac:dyDescent="0.4">
      <c r="B92" s="310" t="s">
        <v>61</v>
      </c>
      <c r="C92" s="54" t="s">
        <v>218</v>
      </c>
      <c r="D92" s="48">
        <v>10.220000000000001</v>
      </c>
      <c r="E92" s="132">
        <v>79.599999999999994</v>
      </c>
      <c r="F92" s="132">
        <v>45.29</v>
      </c>
      <c r="G92" s="85">
        <f>AB88/Z93</f>
        <v>10.671635130310603</v>
      </c>
    </row>
    <row r="93" spans="2:28" x14ac:dyDescent="0.3">
      <c r="B93" s="310"/>
      <c r="C93" s="54" t="s">
        <v>57</v>
      </c>
      <c r="D93" s="52" t="s">
        <v>121</v>
      </c>
      <c r="E93" s="52" t="s">
        <v>121</v>
      </c>
      <c r="F93" s="132" t="s">
        <v>121</v>
      </c>
      <c r="G93" s="132" t="s">
        <v>121</v>
      </c>
      <c r="Z93" s="1">
        <v>8963200</v>
      </c>
    </row>
    <row r="94" spans="2:28" x14ac:dyDescent="0.3">
      <c r="B94" s="297"/>
      <c r="C94" s="5"/>
      <c r="D94" s="50"/>
      <c r="E94" s="132"/>
      <c r="F94" s="132"/>
      <c r="G94" s="132"/>
    </row>
    <row r="95" spans="2:28" x14ac:dyDescent="0.3">
      <c r="B95" s="297"/>
      <c r="C95" s="54" t="s">
        <v>58</v>
      </c>
      <c r="D95" s="52" t="s">
        <v>50</v>
      </c>
      <c r="E95" s="52" t="s">
        <v>121</v>
      </c>
      <c r="F95" s="132" t="s">
        <v>121</v>
      </c>
      <c r="G95" s="132" t="s">
        <v>121</v>
      </c>
    </row>
    <row r="96" spans="2:28" ht="29.4" customHeight="1" x14ac:dyDescent="0.3">
      <c r="B96" s="427" t="s">
        <v>219</v>
      </c>
      <c r="C96" s="428"/>
      <c r="D96" s="428"/>
      <c r="E96" s="428"/>
      <c r="F96" s="428"/>
      <c r="G96" s="429"/>
    </row>
    <row r="97" spans="2:8" x14ac:dyDescent="0.3">
      <c r="B97" s="253" t="s">
        <v>221</v>
      </c>
      <c r="C97" s="270"/>
      <c r="D97" s="270"/>
      <c r="E97" s="270"/>
      <c r="F97" s="270"/>
      <c r="G97" s="254"/>
    </row>
    <row r="98" spans="2:8" ht="58.5" customHeight="1" x14ac:dyDescent="0.3">
      <c r="B98" s="301" t="s">
        <v>758</v>
      </c>
      <c r="C98" s="302"/>
      <c r="D98" s="302"/>
      <c r="E98" s="302"/>
      <c r="F98" s="302"/>
      <c r="G98" s="303"/>
    </row>
    <row r="99" spans="2:8" x14ac:dyDescent="0.3">
      <c r="B99" s="250"/>
      <c r="C99" s="251"/>
      <c r="D99" s="251"/>
      <c r="E99" s="251"/>
      <c r="F99" s="251"/>
      <c r="G99" s="252"/>
    </row>
    <row r="101" spans="2:8" x14ac:dyDescent="0.3">
      <c r="B101" s="54" t="s">
        <v>63</v>
      </c>
      <c r="C101" s="307" t="s">
        <v>50</v>
      </c>
      <c r="D101" s="308"/>
      <c r="E101" s="308"/>
      <c r="F101" s="308"/>
      <c r="G101" s="249"/>
    </row>
    <row r="102" spans="2:8" x14ac:dyDescent="0.3">
      <c r="C102" s="55"/>
      <c r="D102" s="55"/>
      <c r="E102" s="55"/>
      <c r="F102" s="55"/>
      <c r="G102" s="55"/>
    </row>
    <row r="104" spans="2:8" x14ac:dyDescent="0.3">
      <c r="B104" s="299" t="s">
        <v>220</v>
      </c>
      <c r="C104" s="299"/>
      <c r="D104" s="299"/>
      <c r="E104" s="299"/>
      <c r="F104" s="299"/>
      <c r="G104" s="299"/>
      <c r="H104" s="299"/>
    </row>
  </sheetData>
  <mergeCells count="59">
    <mergeCell ref="C44:E44"/>
    <mergeCell ref="C45:E45"/>
    <mergeCell ref="C46:E46"/>
    <mergeCell ref="B47:E47"/>
    <mergeCell ref="A1:B1"/>
    <mergeCell ref="C5:E5"/>
    <mergeCell ref="B6:D6"/>
    <mergeCell ref="B9:D9"/>
    <mergeCell ref="C11:E11"/>
    <mergeCell ref="C14:E14"/>
    <mergeCell ref="B26:C26"/>
    <mergeCell ref="B25:E25"/>
    <mergeCell ref="B43:E43"/>
    <mergeCell ref="B12:D12"/>
    <mergeCell ref="B35:E35"/>
    <mergeCell ref="B17:C17"/>
    <mergeCell ref="B19:E19"/>
    <mergeCell ref="C20:E20"/>
    <mergeCell ref="C21:E21"/>
    <mergeCell ref="C22:E22"/>
    <mergeCell ref="C23:E23"/>
    <mergeCell ref="C24:E24"/>
    <mergeCell ref="B28:E28"/>
    <mergeCell ref="B29:E29"/>
    <mergeCell ref="B37:E37"/>
    <mergeCell ref="L68:N68"/>
    <mergeCell ref="C59:E59"/>
    <mergeCell ref="B60:E60"/>
    <mergeCell ref="C62:E62"/>
    <mergeCell ref="C64:E64"/>
    <mergeCell ref="B49:E49"/>
    <mergeCell ref="B52:E52"/>
    <mergeCell ref="B55:E55"/>
    <mergeCell ref="B56:B57"/>
    <mergeCell ref="C56:E57"/>
    <mergeCell ref="B61:E61"/>
    <mergeCell ref="C58:E58"/>
    <mergeCell ref="B72:N72"/>
    <mergeCell ref="B73:F73"/>
    <mergeCell ref="B74:F74"/>
    <mergeCell ref="B75:F75"/>
    <mergeCell ref="F68:H68"/>
    <mergeCell ref="I68:K68"/>
    <mergeCell ref="B68:B69"/>
    <mergeCell ref="C68:C69"/>
    <mergeCell ref="D68:D69"/>
    <mergeCell ref="E68:E69"/>
    <mergeCell ref="C101:G101"/>
    <mergeCell ref="B104:H104"/>
    <mergeCell ref="B84:B87"/>
    <mergeCell ref="B88:B91"/>
    <mergeCell ref="B92:B95"/>
    <mergeCell ref="B98:G98"/>
    <mergeCell ref="B97:G97"/>
    <mergeCell ref="B76:F76"/>
    <mergeCell ref="B77:G77"/>
    <mergeCell ref="B80:B83"/>
    <mergeCell ref="B99:G99"/>
    <mergeCell ref="B96:G96"/>
  </mergeCells>
  <pageMargins left="0.70866141732283472" right="0.70866141732283472" top="0.74803149606299213" bottom="0.74803149606299213" header="0.31496062992125984" footer="0.31496062992125984"/>
  <pageSetup paperSize="9" scale="29" fitToWidth="70" fitToHeight="2" orientation="landscape" horizontalDpi="4294967292" r:id="rId1"/>
  <rowBreaks count="1" manualBreakCount="1">
    <brk id="53" max="2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90018-5A79-43CA-8506-8E400A953C05}">
  <dimension ref="A1:N104"/>
  <sheetViews>
    <sheetView view="pageBreakPreview" topLeftCell="C69" zoomScale="60" zoomScaleNormal="60" workbookViewId="0">
      <selection activeCell="C44" sqref="C44:E44"/>
    </sheetView>
  </sheetViews>
  <sheetFormatPr defaultColWidth="8.6640625" defaultRowHeight="21" x14ac:dyDescent="0.3"/>
  <cols>
    <col min="1" max="1" width="8.6640625" style="1"/>
    <col min="2" max="2" width="58.33203125" style="1" customWidth="1"/>
    <col min="3" max="3" width="81" style="1" customWidth="1"/>
    <col min="4" max="4" width="73.109375" style="1" customWidth="1"/>
    <col min="5" max="5" width="27.6640625" style="1" customWidth="1"/>
    <col min="6" max="6" width="13.5546875" style="1" customWidth="1"/>
    <col min="7" max="7" width="12" style="1" customWidth="1"/>
    <col min="8" max="8" width="22.6640625" style="1" customWidth="1"/>
    <col min="9" max="9" width="13.6640625" style="1" customWidth="1"/>
    <col min="10" max="10" width="12.33203125" style="1" customWidth="1"/>
    <col min="11" max="11" width="12.88671875" style="1" customWidth="1"/>
    <col min="12" max="12" width="15" style="1" customWidth="1"/>
    <col min="13" max="13" width="14.88671875" style="1" customWidth="1"/>
    <col min="14" max="14" width="13.5546875" style="1" customWidth="1"/>
    <col min="15" max="16384" width="8.6640625" style="1"/>
  </cols>
  <sheetData>
    <row r="1" spans="1:5" ht="20.25" customHeight="1" x14ac:dyDescent="0.3">
      <c r="A1" s="246" t="s">
        <v>0</v>
      </c>
      <c r="B1" s="246"/>
      <c r="D1" s="2"/>
    </row>
    <row r="3" spans="1:5" ht="40.799999999999997" x14ac:dyDescent="0.3">
      <c r="A3" s="3" t="s">
        <v>1</v>
      </c>
      <c r="B3" s="54" t="s">
        <v>2</v>
      </c>
      <c r="C3" s="5" t="s">
        <v>223</v>
      </c>
    </row>
    <row r="4" spans="1:5" x14ac:dyDescent="0.3">
      <c r="D4" s="22"/>
    </row>
    <row r="5" spans="1:5" x14ac:dyDescent="0.3">
      <c r="A5" s="62">
        <v>1</v>
      </c>
      <c r="B5" s="63" t="s">
        <v>3</v>
      </c>
      <c r="C5" s="247" t="s">
        <v>789</v>
      </c>
      <c r="D5" s="248"/>
      <c r="E5" s="249"/>
    </row>
    <row r="6" spans="1:5" x14ac:dyDescent="0.3">
      <c r="A6" s="3"/>
      <c r="B6" s="250" t="s">
        <v>4</v>
      </c>
      <c r="C6" s="251"/>
      <c r="D6" s="252"/>
      <c r="E6" s="10"/>
    </row>
    <row r="7" spans="1:5" x14ac:dyDescent="0.3">
      <c r="A7" s="3"/>
      <c r="B7" s="2"/>
      <c r="D7" s="22"/>
    </row>
    <row r="8" spans="1:5" x14ac:dyDescent="0.3">
      <c r="A8" s="3">
        <v>2</v>
      </c>
      <c r="B8" s="63" t="s">
        <v>5</v>
      </c>
      <c r="C8" s="12" t="s">
        <v>224</v>
      </c>
      <c r="D8" s="22"/>
    </row>
    <row r="9" spans="1:5" x14ac:dyDescent="0.3">
      <c r="A9" s="3"/>
      <c r="B9" s="250" t="s">
        <v>4</v>
      </c>
      <c r="C9" s="251"/>
      <c r="D9" s="252"/>
    </row>
    <row r="10" spans="1:5" x14ac:dyDescent="0.3">
      <c r="A10" s="3"/>
      <c r="B10" s="2"/>
      <c r="D10" s="22"/>
    </row>
    <row r="11" spans="1:5" ht="40.950000000000003" customHeight="1" x14ac:dyDescent="0.3">
      <c r="A11" s="3">
        <v>3</v>
      </c>
      <c r="B11" s="63" t="s">
        <v>6</v>
      </c>
      <c r="C11" s="247" t="s">
        <v>90</v>
      </c>
      <c r="D11" s="248"/>
      <c r="E11" s="249"/>
    </row>
    <row r="12" spans="1:5" x14ac:dyDescent="0.3">
      <c r="A12" s="3"/>
      <c r="B12" s="250" t="s">
        <v>4</v>
      </c>
      <c r="C12" s="251"/>
      <c r="D12" s="252"/>
      <c r="E12" s="10"/>
    </row>
    <row r="13" spans="1:5" x14ac:dyDescent="0.3">
      <c r="A13" s="3"/>
      <c r="B13" s="2"/>
      <c r="D13" s="22"/>
    </row>
    <row r="14" spans="1:5" x14ac:dyDescent="0.3">
      <c r="A14" s="3">
        <v>4</v>
      </c>
      <c r="B14" s="54" t="s">
        <v>92</v>
      </c>
      <c r="C14" s="247" t="s">
        <v>90</v>
      </c>
      <c r="D14" s="248"/>
      <c r="E14" s="249"/>
    </row>
    <row r="15" spans="1:5" x14ac:dyDescent="0.3">
      <c r="A15" s="3"/>
      <c r="B15" s="250" t="s">
        <v>4</v>
      </c>
      <c r="C15" s="251"/>
      <c r="D15" s="252"/>
    </row>
    <row r="16" spans="1:5" x14ac:dyDescent="0.3">
      <c r="A16" s="3">
        <v>4</v>
      </c>
      <c r="B16" s="54" t="s">
        <v>7</v>
      </c>
      <c r="C16" s="5" t="s">
        <v>225</v>
      </c>
      <c r="D16" s="22"/>
    </row>
    <row r="17" spans="1:14" x14ac:dyDescent="0.3">
      <c r="A17" s="3"/>
      <c r="B17" s="253" t="s">
        <v>8</v>
      </c>
      <c r="C17" s="254"/>
      <c r="D17" s="22"/>
    </row>
    <row r="18" spans="1:14" x14ac:dyDescent="0.3">
      <c r="A18" s="3"/>
      <c r="D18" s="22"/>
    </row>
    <row r="19" spans="1:14" x14ac:dyDescent="0.3">
      <c r="A19" s="3">
        <v>5</v>
      </c>
      <c r="B19" s="255" t="s">
        <v>9</v>
      </c>
      <c r="C19" s="256"/>
      <c r="D19" s="256"/>
      <c r="E19" s="257"/>
      <c r="F19" s="2"/>
      <c r="G19" s="2"/>
      <c r="H19" s="2"/>
      <c r="I19" s="2"/>
      <c r="J19" s="10"/>
      <c r="K19" s="10"/>
      <c r="L19" s="10"/>
      <c r="M19" s="10"/>
      <c r="N19" s="10"/>
    </row>
    <row r="20" spans="1:14" x14ac:dyDescent="0.3">
      <c r="A20" s="3"/>
      <c r="B20" s="65" t="s">
        <v>10</v>
      </c>
      <c r="C20" s="243" t="s">
        <v>11</v>
      </c>
      <c r="D20" s="244"/>
      <c r="E20" s="245"/>
      <c r="F20" s="66"/>
      <c r="G20" s="10"/>
      <c r="H20" s="10"/>
      <c r="I20" s="10"/>
      <c r="J20" s="10"/>
      <c r="K20" s="10"/>
      <c r="L20" s="10"/>
      <c r="M20" s="10"/>
      <c r="N20" s="10"/>
    </row>
    <row r="21" spans="1:14" ht="61.2" x14ac:dyDescent="0.3">
      <c r="A21" s="3"/>
      <c r="B21" s="65" t="s">
        <v>204</v>
      </c>
      <c r="C21" s="430" t="s">
        <v>11</v>
      </c>
      <c r="D21" s="431"/>
      <c r="E21" s="432"/>
      <c r="F21" s="66"/>
      <c r="G21" s="10"/>
      <c r="I21" s="10"/>
      <c r="J21" s="10"/>
      <c r="K21" s="10"/>
      <c r="L21" s="10"/>
      <c r="M21" s="10"/>
      <c r="N21" s="10"/>
    </row>
    <row r="22" spans="1:14" x14ac:dyDescent="0.3">
      <c r="A22" s="3"/>
      <c r="B22" s="65" t="s">
        <v>226</v>
      </c>
      <c r="C22" s="430" t="s">
        <v>11</v>
      </c>
      <c r="D22" s="431"/>
      <c r="E22" s="432"/>
      <c r="F22" s="66"/>
      <c r="G22" s="10"/>
      <c r="H22" s="10"/>
      <c r="I22" s="10"/>
      <c r="J22" s="10"/>
      <c r="K22" s="10"/>
      <c r="L22" s="10"/>
      <c r="M22" s="10"/>
      <c r="N22" s="10"/>
    </row>
    <row r="23" spans="1:14" x14ac:dyDescent="0.3">
      <c r="A23" s="3"/>
      <c r="B23" s="64" t="s">
        <v>13</v>
      </c>
      <c r="C23" s="434" t="s">
        <v>11</v>
      </c>
      <c r="D23" s="435"/>
      <c r="E23" s="436"/>
      <c r="F23" s="66"/>
      <c r="G23" s="10"/>
      <c r="H23" s="10"/>
      <c r="I23" s="10"/>
      <c r="J23" s="10"/>
      <c r="K23" s="10"/>
      <c r="L23" s="10"/>
      <c r="M23" s="10"/>
      <c r="N23" s="10"/>
    </row>
    <row r="24" spans="1:14" x14ac:dyDescent="0.3">
      <c r="A24" s="3"/>
      <c r="B24" s="67" t="s">
        <v>14</v>
      </c>
      <c r="C24" s="437" t="s">
        <v>11</v>
      </c>
      <c r="D24" s="437"/>
      <c r="E24" s="437"/>
      <c r="F24" s="66"/>
      <c r="G24" s="10"/>
      <c r="H24" s="10"/>
      <c r="I24" s="10"/>
      <c r="J24" s="10"/>
      <c r="K24" s="10"/>
      <c r="L24" s="10"/>
      <c r="M24" s="10"/>
      <c r="N24" s="10"/>
    </row>
    <row r="25" spans="1:14" x14ac:dyDescent="0.3">
      <c r="A25" s="3"/>
      <c r="B25" s="66" t="s">
        <v>64</v>
      </c>
      <c r="C25" s="66"/>
      <c r="D25" s="66"/>
      <c r="E25" s="66"/>
      <c r="F25" s="66"/>
      <c r="G25" s="10"/>
      <c r="H25" s="10"/>
      <c r="I25" s="10"/>
      <c r="J25" s="10"/>
      <c r="K25" s="10"/>
      <c r="L25" s="10"/>
      <c r="M25" s="10"/>
      <c r="N25" s="10"/>
    </row>
    <row r="26" spans="1:14" x14ac:dyDescent="0.3">
      <c r="A26" s="3">
        <v>6</v>
      </c>
      <c r="B26" s="261" t="s">
        <v>74</v>
      </c>
      <c r="C26" s="262"/>
      <c r="D26" s="262"/>
      <c r="E26" s="263"/>
      <c r="F26" s="2"/>
      <c r="G26" s="2"/>
      <c r="H26" s="10"/>
      <c r="I26" s="2"/>
      <c r="J26" s="2"/>
    </row>
    <row r="27" spans="1:14" x14ac:dyDescent="0.3">
      <c r="A27" s="3"/>
      <c r="B27" s="264" t="s">
        <v>17</v>
      </c>
      <c r="C27" s="265"/>
      <c r="D27" s="265"/>
      <c r="E27" s="266"/>
      <c r="F27" s="66"/>
    </row>
    <row r="28" spans="1:14" x14ac:dyDescent="0.3">
      <c r="A28" s="3"/>
      <c r="B28" s="67" t="s">
        <v>18</v>
      </c>
      <c r="C28" s="25" t="s">
        <v>106</v>
      </c>
      <c r="D28" s="25" t="s">
        <v>107</v>
      </c>
      <c r="E28" s="25" t="s">
        <v>230</v>
      </c>
      <c r="F28" s="66"/>
    </row>
    <row r="29" spans="1:14" ht="20.7" customHeight="1" x14ac:dyDescent="0.3">
      <c r="A29" s="3"/>
      <c r="B29" s="68" t="s">
        <v>21</v>
      </c>
      <c r="C29" s="27">
        <v>876</v>
      </c>
      <c r="D29" s="27">
        <v>1477</v>
      </c>
      <c r="E29" s="27">
        <v>3112</v>
      </c>
      <c r="F29" s="66"/>
    </row>
    <row r="30" spans="1:14" x14ac:dyDescent="0.3">
      <c r="A30" s="3"/>
      <c r="B30" s="68" t="s">
        <v>23</v>
      </c>
      <c r="C30" s="27">
        <v>83</v>
      </c>
      <c r="D30" s="27">
        <v>37</v>
      </c>
      <c r="E30" s="27">
        <v>146</v>
      </c>
      <c r="F30" s="66"/>
    </row>
    <row r="31" spans="1:14" x14ac:dyDescent="0.3">
      <c r="A31" s="3"/>
      <c r="B31" s="68" t="s">
        <v>24</v>
      </c>
      <c r="C31" s="27">
        <v>734</v>
      </c>
      <c r="D31" s="27">
        <v>734</v>
      </c>
      <c r="E31" s="27">
        <v>864</v>
      </c>
      <c r="F31" s="66"/>
      <c r="H31" s="194"/>
    </row>
    <row r="32" spans="1:14" x14ac:dyDescent="0.3">
      <c r="A32" s="3"/>
      <c r="B32" s="68" t="s">
        <v>25</v>
      </c>
      <c r="C32" s="27">
        <v>348</v>
      </c>
      <c r="D32" s="27">
        <v>384</v>
      </c>
      <c r="E32" s="192">
        <v>1144</v>
      </c>
      <c r="F32" s="66"/>
    </row>
    <row r="33" spans="1:10" x14ac:dyDescent="0.3">
      <c r="A33" s="3"/>
      <c r="B33" s="253" t="s">
        <v>790</v>
      </c>
      <c r="C33" s="270"/>
      <c r="D33" s="270"/>
      <c r="E33" s="254"/>
      <c r="F33" s="66"/>
    </row>
    <row r="34" spans="1:10" x14ac:dyDescent="0.3">
      <c r="A34" s="3"/>
      <c r="B34" s="10"/>
      <c r="C34" s="66"/>
      <c r="D34" s="66"/>
      <c r="E34" s="66"/>
      <c r="F34" s="66"/>
    </row>
    <row r="35" spans="1:10" ht="41.7" customHeight="1" x14ac:dyDescent="0.3">
      <c r="A35" s="3">
        <v>7</v>
      </c>
      <c r="B35" s="261" t="s">
        <v>26</v>
      </c>
      <c r="C35" s="262"/>
      <c r="D35" s="262"/>
      <c r="E35" s="263"/>
      <c r="F35" s="2"/>
      <c r="G35" s="2"/>
      <c r="H35" s="2"/>
      <c r="I35" s="2"/>
      <c r="J35" s="2"/>
    </row>
    <row r="36" spans="1:10" x14ac:dyDescent="0.3">
      <c r="A36" s="3"/>
      <c r="B36" s="67" t="s">
        <v>228</v>
      </c>
      <c r="C36" s="190" t="s">
        <v>227</v>
      </c>
      <c r="D36" s="10"/>
      <c r="E36" s="10"/>
      <c r="F36" s="10"/>
    </row>
    <row r="37" spans="1:10" x14ac:dyDescent="0.3">
      <c r="A37" s="3"/>
      <c r="B37" s="67" t="s">
        <v>28</v>
      </c>
      <c r="C37" s="190" t="s">
        <v>86</v>
      </c>
      <c r="D37" s="10"/>
      <c r="E37" s="10"/>
      <c r="F37" s="10"/>
    </row>
    <row r="38" spans="1:10" x14ac:dyDescent="0.3">
      <c r="A38" s="3"/>
      <c r="B38" s="67" t="s">
        <v>29</v>
      </c>
      <c r="C38" s="27" t="s">
        <v>86</v>
      </c>
      <c r="D38" s="10"/>
      <c r="E38" s="10"/>
      <c r="F38" s="10"/>
    </row>
    <row r="39" spans="1:10" ht="42" customHeight="1" x14ac:dyDescent="0.3">
      <c r="A39" s="3"/>
      <c r="B39" s="271" t="s">
        <v>229</v>
      </c>
      <c r="C39" s="271"/>
      <c r="D39" s="271"/>
      <c r="E39" s="10"/>
      <c r="F39" s="10"/>
    </row>
    <row r="40" spans="1:10" x14ac:dyDescent="0.3">
      <c r="A40" s="3"/>
      <c r="B40" s="66"/>
      <c r="C40" s="10"/>
      <c r="D40" s="10"/>
      <c r="E40" s="10"/>
      <c r="F40" s="10"/>
    </row>
    <row r="41" spans="1:10" x14ac:dyDescent="0.3">
      <c r="A41" s="3">
        <v>8</v>
      </c>
      <c r="B41" s="261" t="s">
        <v>30</v>
      </c>
      <c r="C41" s="262"/>
      <c r="D41" s="262"/>
      <c r="E41" s="263"/>
      <c r="F41" s="2"/>
      <c r="G41" s="2"/>
      <c r="H41" s="2"/>
      <c r="I41" s="2"/>
      <c r="J41" s="2"/>
    </row>
    <row r="42" spans="1:10" x14ac:dyDescent="0.3">
      <c r="A42" s="3"/>
      <c r="B42" s="67" t="s">
        <v>31</v>
      </c>
      <c r="C42" s="397" t="s">
        <v>85</v>
      </c>
      <c r="D42" s="398"/>
      <c r="E42" s="399"/>
      <c r="F42" s="10"/>
    </row>
    <row r="43" spans="1:10" x14ac:dyDescent="0.3">
      <c r="A43" s="3"/>
      <c r="B43" s="67" t="s">
        <v>28</v>
      </c>
      <c r="C43" s="258" t="s">
        <v>447</v>
      </c>
      <c r="D43" s="259"/>
      <c r="E43" s="260"/>
      <c r="F43" s="10"/>
    </row>
    <row r="44" spans="1:10" x14ac:dyDescent="0.3">
      <c r="A44" s="3"/>
      <c r="B44" s="67" t="s">
        <v>29</v>
      </c>
      <c r="C44" s="397" t="s">
        <v>85</v>
      </c>
      <c r="D44" s="398"/>
      <c r="E44" s="399"/>
      <c r="F44" s="10"/>
    </row>
    <row r="45" spans="1:10" x14ac:dyDescent="0.3">
      <c r="A45" s="3"/>
      <c r="B45" s="253" t="s">
        <v>788</v>
      </c>
      <c r="C45" s="270"/>
      <c r="D45" s="270"/>
      <c r="E45" s="254"/>
      <c r="F45" s="10"/>
    </row>
    <row r="46" spans="1:10" x14ac:dyDescent="0.3">
      <c r="A46" s="3"/>
      <c r="D46" s="22"/>
      <c r="E46" s="10"/>
    </row>
    <row r="47" spans="1:10" ht="37.950000000000003" customHeight="1" x14ac:dyDescent="0.3">
      <c r="A47" s="191">
        <v>9</v>
      </c>
      <c r="B47" s="262" t="s">
        <v>32</v>
      </c>
      <c r="C47" s="262"/>
      <c r="D47" s="262"/>
      <c r="E47" s="263"/>
      <c r="F47" s="2"/>
      <c r="G47" s="2"/>
      <c r="H47" s="2"/>
      <c r="I47" s="2"/>
    </row>
    <row r="48" spans="1:10" ht="81.599999999999994" x14ac:dyDescent="0.3">
      <c r="A48" s="191"/>
      <c r="B48" s="24" t="s">
        <v>33</v>
      </c>
      <c r="C48" s="25" t="s">
        <v>34</v>
      </c>
      <c r="D48" s="25" t="s">
        <v>524</v>
      </c>
      <c r="E48" s="25" t="s">
        <v>35</v>
      </c>
    </row>
    <row r="49" spans="1:14" ht="166.2" customHeight="1" x14ac:dyDescent="0.3">
      <c r="A49" s="191"/>
      <c r="B49" s="189" t="s">
        <v>231</v>
      </c>
      <c r="C49" s="27" t="s">
        <v>523</v>
      </c>
      <c r="D49" s="27" t="s">
        <v>523</v>
      </c>
      <c r="E49" s="27" t="s">
        <v>50</v>
      </c>
    </row>
    <row r="50" spans="1:14" x14ac:dyDescent="0.3">
      <c r="A50" s="191"/>
      <c r="B50" s="270"/>
      <c r="C50" s="410"/>
      <c r="D50" s="410"/>
      <c r="E50" s="411"/>
    </row>
    <row r="51" spans="1:14" x14ac:dyDescent="0.3">
      <c r="A51" s="191"/>
      <c r="B51" s="103" t="s">
        <v>791</v>
      </c>
      <c r="C51" s="87"/>
      <c r="D51" s="87"/>
      <c r="E51" s="87"/>
    </row>
    <row r="52" spans="1:14" x14ac:dyDescent="0.3">
      <c r="A52" s="191"/>
      <c r="B52" s="28"/>
      <c r="C52" s="22"/>
      <c r="D52" s="22"/>
      <c r="E52" s="22"/>
      <c r="F52" s="66"/>
      <c r="G52" s="66"/>
      <c r="H52" s="66"/>
      <c r="I52" s="66"/>
    </row>
    <row r="53" spans="1:14" ht="43.2" customHeight="1" x14ac:dyDescent="0.3">
      <c r="A53" s="191">
        <v>10</v>
      </c>
      <c r="B53" s="262" t="s">
        <v>32</v>
      </c>
      <c r="C53" s="262"/>
      <c r="D53" s="262"/>
      <c r="E53" s="263"/>
      <c r="F53" s="66"/>
      <c r="G53" s="66"/>
      <c r="H53" s="66"/>
    </row>
    <row r="54" spans="1:14" x14ac:dyDescent="0.3">
      <c r="A54" s="191"/>
      <c r="B54" s="275" t="s">
        <v>36</v>
      </c>
      <c r="C54" s="277" t="s">
        <v>741</v>
      </c>
      <c r="D54" s="278"/>
      <c r="E54" s="279"/>
      <c r="K54" s="2"/>
    </row>
    <row r="55" spans="1:14" ht="100.2" customHeight="1" x14ac:dyDescent="0.3">
      <c r="A55" s="191"/>
      <c r="B55" s="276"/>
      <c r="C55" s="280"/>
      <c r="D55" s="281"/>
      <c r="E55" s="282"/>
      <c r="K55" s="2"/>
    </row>
    <row r="56" spans="1:14" ht="123.6" customHeight="1" x14ac:dyDescent="0.3">
      <c r="A56" s="191"/>
      <c r="B56" s="29" t="s">
        <v>37</v>
      </c>
      <c r="C56" s="283" t="s">
        <v>523</v>
      </c>
      <c r="D56" s="284"/>
      <c r="E56" s="285"/>
    </row>
    <row r="57" spans="1:14" x14ac:dyDescent="0.3">
      <c r="A57" s="191"/>
      <c r="B57" s="29" t="s">
        <v>38</v>
      </c>
      <c r="C57" s="286" t="s">
        <v>232</v>
      </c>
      <c r="D57" s="287"/>
      <c r="E57" s="288"/>
      <c r="K57" s="30"/>
    </row>
    <row r="58" spans="1:14" s="32" customFormat="1" x14ac:dyDescent="0.4">
      <c r="A58" s="111" t="s">
        <v>39</v>
      </c>
      <c r="B58" s="290" t="s">
        <v>792</v>
      </c>
      <c r="C58" s="290"/>
      <c r="D58" s="290"/>
      <c r="E58" s="291"/>
    </row>
    <row r="59" spans="1:14" x14ac:dyDescent="0.3">
      <c r="A59" s="71"/>
      <c r="B59" s="72"/>
      <c r="C59" s="73"/>
      <c r="D59" s="73"/>
      <c r="E59" s="73"/>
      <c r="F59" s="73"/>
    </row>
    <row r="60" spans="1:14" x14ac:dyDescent="0.3">
      <c r="A60" s="3">
        <v>11</v>
      </c>
      <c r="B60" s="54" t="s">
        <v>41</v>
      </c>
      <c r="C60" s="270" t="s">
        <v>121</v>
      </c>
      <c r="D60" s="270"/>
      <c r="E60" s="270"/>
      <c r="F60" s="2"/>
      <c r="G60" s="2"/>
      <c r="H60" s="74"/>
      <c r="I60" s="2"/>
      <c r="J60" s="2"/>
    </row>
    <row r="61" spans="1:14" ht="20.7" customHeight="1" x14ac:dyDescent="0.3">
      <c r="A61" s="3"/>
      <c r="B61" s="66"/>
      <c r="C61" s="270"/>
      <c r="D61" s="270"/>
      <c r="E61" s="270"/>
      <c r="F61" s="66"/>
      <c r="G61" s="66"/>
      <c r="H61" s="75"/>
      <c r="I61" s="75"/>
      <c r="J61" s="66"/>
    </row>
    <row r="62" spans="1:14" s="42" customFormat="1" x14ac:dyDescent="0.3">
      <c r="A62" s="76">
        <v>12</v>
      </c>
      <c r="B62" s="77" t="s">
        <v>42</v>
      </c>
      <c r="C62" s="272"/>
      <c r="D62" s="273"/>
      <c r="E62" s="274"/>
      <c r="F62" s="78"/>
      <c r="G62" s="79"/>
      <c r="H62" s="79"/>
      <c r="I62" s="79"/>
      <c r="J62" s="79"/>
      <c r="K62" s="79"/>
      <c r="L62" s="79"/>
      <c r="M62" s="79"/>
      <c r="N62" s="79"/>
    </row>
    <row r="63" spans="1:14" x14ac:dyDescent="0.3">
      <c r="A63" s="3"/>
      <c r="B63" s="2"/>
      <c r="C63" s="2"/>
      <c r="D63" s="2"/>
      <c r="E63" s="74"/>
      <c r="F63" s="74"/>
      <c r="G63" s="74"/>
      <c r="H63" s="2"/>
      <c r="I63" s="2"/>
      <c r="J63" s="2"/>
      <c r="K63" s="2"/>
      <c r="L63" s="2"/>
      <c r="M63" s="2"/>
      <c r="N63" s="2"/>
    </row>
    <row r="64" spans="1:14" x14ac:dyDescent="0.3">
      <c r="A64" s="3"/>
      <c r="B64" s="67" t="s">
        <v>43</v>
      </c>
      <c r="C64" s="68" t="s">
        <v>234</v>
      </c>
      <c r="D64" s="66"/>
      <c r="E64" s="66"/>
      <c r="F64" s="75"/>
      <c r="G64" s="75"/>
      <c r="H64" s="66"/>
      <c r="I64" s="66"/>
      <c r="J64" s="66"/>
      <c r="K64" s="66"/>
      <c r="L64" s="66"/>
      <c r="M64" s="66"/>
      <c r="N64" s="66"/>
    </row>
    <row r="65" spans="1:14" x14ac:dyDescent="0.3">
      <c r="A65" s="3"/>
      <c r="B65" s="66"/>
      <c r="C65" s="66"/>
      <c r="D65" s="66"/>
      <c r="E65" s="66"/>
      <c r="F65" s="66"/>
      <c r="G65" s="66"/>
      <c r="H65" s="66"/>
      <c r="I65" s="66"/>
      <c r="J65" s="66"/>
      <c r="K65" s="66"/>
      <c r="L65" s="66"/>
      <c r="M65" s="66"/>
      <c r="N65" s="66"/>
    </row>
    <row r="66" spans="1:14" ht="87.6" customHeight="1" x14ac:dyDescent="0.3">
      <c r="A66" s="3"/>
      <c r="B66" s="295" t="s">
        <v>44</v>
      </c>
      <c r="C66" s="295" t="s">
        <v>233</v>
      </c>
      <c r="D66" s="295" t="s">
        <v>68</v>
      </c>
      <c r="E66" s="297" t="s">
        <v>45</v>
      </c>
      <c r="F66" s="292" t="s">
        <v>98</v>
      </c>
      <c r="G66" s="293"/>
      <c r="H66" s="294"/>
      <c r="I66" s="292" t="s">
        <v>122</v>
      </c>
      <c r="J66" s="293"/>
      <c r="K66" s="294"/>
      <c r="L66" s="292" t="s">
        <v>235</v>
      </c>
      <c r="M66" s="293"/>
      <c r="N66" s="294"/>
    </row>
    <row r="67" spans="1:14" ht="61.2" x14ac:dyDescent="0.3">
      <c r="A67" s="3"/>
      <c r="B67" s="296"/>
      <c r="C67" s="296"/>
      <c r="D67" s="296"/>
      <c r="E67" s="298"/>
      <c r="F67" s="67" t="s">
        <v>46</v>
      </c>
      <c r="G67" s="67" t="s">
        <v>47</v>
      </c>
      <c r="H67" s="67" t="s">
        <v>48</v>
      </c>
      <c r="I67" s="67" t="s">
        <v>49</v>
      </c>
      <c r="J67" s="67" t="s">
        <v>47</v>
      </c>
      <c r="K67" s="67" t="s">
        <v>48</v>
      </c>
      <c r="L67" s="67" t="s">
        <v>49</v>
      </c>
      <c r="M67" s="67" t="s">
        <v>47</v>
      </c>
      <c r="N67" s="67" t="s">
        <v>48</v>
      </c>
    </row>
    <row r="68" spans="1:14" ht="105" customHeight="1" x14ac:dyDescent="0.3">
      <c r="A68" s="3"/>
      <c r="B68" s="67" t="s">
        <v>776</v>
      </c>
      <c r="C68" s="81">
        <v>27.65</v>
      </c>
      <c r="D68" s="82">
        <v>31.95</v>
      </c>
      <c r="E68" s="82">
        <v>57.8</v>
      </c>
      <c r="F68" s="82">
        <v>30.35</v>
      </c>
      <c r="G68" s="82">
        <v>44</v>
      </c>
      <c r="H68" s="82">
        <v>25</v>
      </c>
      <c r="I68" s="82">
        <v>32.5</v>
      </c>
      <c r="J68" s="82">
        <v>72.349999999999994</v>
      </c>
      <c r="K68" s="82">
        <v>28.9</v>
      </c>
      <c r="L68" s="82">
        <v>56</v>
      </c>
      <c r="M68" s="82">
        <v>121.65</v>
      </c>
      <c r="N68" s="82">
        <v>53.5</v>
      </c>
    </row>
    <row r="69" spans="1:14" ht="40.799999999999997" x14ac:dyDescent="0.3">
      <c r="A69" s="3"/>
      <c r="B69" s="69" t="s">
        <v>67</v>
      </c>
      <c r="C69" s="82">
        <v>17826.7</v>
      </c>
      <c r="D69" s="82">
        <v>17151.900000000001</v>
      </c>
      <c r="E69" s="82">
        <v>18314.400000000001</v>
      </c>
      <c r="F69" s="82">
        <v>17464.75</v>
      </c>
      <c r="G69" s="82">
        <v>18604.45</v>
      </c>
      <c r="H69" s="82">
        <v>14151.400390999999</v>
      </c>
      <c r="I69" s="82">
        <v>22326.9</v>
      </c>
      <c r="J69" s="82">
        <v>22526.6</v>
      </c>
      <c r="K69" s="82">
        <v>17312.75</v>
      </c>
      <c r="L69" s="121">
        <v>23519.35</v>
      </c>
      <c r="M69" s="121">
        <v>26277.35</v>
      </c>
      <c r="N69" s="121">
        <v>21281.45</v>
      </c>
    </row>
    <row r="70" spans="1:14" x14ac:dyDescent="0.3">
      <c r="A70" s="3"/>
      <c r="B70" s="253" t="s">
        <v>99</v>
      </c>
      <c r="C70" s="270"/>
      <c r="D70" s="270"/>
      <c r="E70" s="270"/>
      <c r="F70" s="270"/>
      <c r="G70" s="270"/>
      <c r="H70" s="270"/>
      <c r="I70" s="270"/>
      <c r="J70" s="270"/>
      <c r="K70" s="270"/>
      <c r="L70" s="270"/>
      <c r="M70" s="270"/>
      <c r="N70" s="254"/>
    </row>
    <row r="71" spans="1:14" x14ac:dyDescent="0.3">
      <c r="A71" s="3"/>
      <c r="B71" s="253" t="s">
        <v>777</v>
      </c>
      <c r="C71" s="270"/>
      <c r="D71" s="270"/>
      <c r="E71" s="270"/>
      <c r="F71" s="254"/>
      <c r="G71" s="83"/>
      <c r="H71" s="83"/>
      <c r="I71" s="83"/>
      <c r="J71" s="83"/>
      <c r="K71" s="83"/>
      <c r="L71" s="83"/>
      <c r="M71" s="83"/>
      <c r="N71" s="83"/>
    </row>
    <row r="72" spans="1:14" ht="53.25" customHeight="1" x14ac:dyDescent="0.3">
      <c r="A72" s="3"/>
      <c r="B72" s="253" t="s">
        <v>755</v>
      </c>
      <c r="C72" s="270"/>
      <c r="D72" s="270"/>
      <c r="E72" s="270"/>
      <c r="F72" s="254"/>
      <c r="G72" s="83"/>
      <c r="H72" s="83"/>
      <c r="I72" s="83"/>
      <c r="J72" s="83"/>
      <c r="K72" s="83"/>
      <c r="L72" s="83"/>
      <c r="M72" s="83"/>
      <c r="N72" s="83"/>
    </row>
    <row r="73" spans="1:14" x14ac:dyDescent="0.3">
      <c r="A73" s="3"/>
      <c r="B73" s="253" t="s">
        <v>71</v>
      </c>
      <c r="C73" s="270"/>
      <c r="D73" s="270"/>
      <c r="E73" s="270"/>
      <c r="F73" s="254"/>
      <c r="G73" s="83"/>
      <c r="H73" s="83"/>
      <c r="I73" s="83"/>
      <c r="J73" s="83"/>
      <c r="K73" s="83"/>
      <c r="L73" s="83"/>
      <c r="M73" s="83"/>
      <c r="N73" s="83"/>
    </row>
    <row r="74" spans="1:14" x14ac:dyDescent="0.3">
      <c r="A74" s="3"/>
      <c r="B74" s="84"/>
      <c r="C74" s="84"/>
      <c r="D74" s="84"/>
      <c r="E74" s="84"/>
      <c r="F74" s="84"/>
      <c r="G74" s="10"/>
      <c r="H74" s="10"/>
      <c r="I74" s="10"/>
      <c r="J74" s="10"/>
      <c r="K74" s="10"/>
      <c r="L74" s="10"/>
      <c r="M74" s="10"/>
      <c r="N74" s="10"/>
    </row>
    <row r="75" spans="1:14" ht="39" customHeight="1" x14ac:dyDescent="0.3">
      <c r="A75" s="3">
        <v>13</v>
      </c>
      <c r="B75" s="261" t="s">
        <v>51</v>
      </c>
      <c r="C75" s="262"/>
      <c r="D75" s="262"/>
      <c r="E75" s="262"/>
      <c r="F75" s="262"/>
      <c r="G75" s="263"/>
      <c r="H75" s="2"/>
      <c r="I75" s="2"/>
      <c r="J75" s="2"/>
      <c r="K75" s="2"/>
      <c r="L75" s="2"/>
      <c r="M75" s="2"/>
      <c r="N75" s="2"/>
    </row>
    <row r="76" spans="1:14" x14ac:dyDescent="0.3">
      <c r="A76" s="3"/>
      <c r="C76" s="66"/>
      <c r="D76" s="66"/>
      <c r="E76" s="66"/>
      <c r="F76" s="66"/>
      <c r="G76" s="66"/>
      <c r="H76" s="66"/>
      <c r="I76" s="66"/>
      <c r="J76" s="66"/>
      <c r="K76" s="66"/>
      <c r="L76" s="66"/>
      <c r="M76" s="66"/>
      <c r="N76" s="66"/>
    </row>
    <row r="77" spans="1:14" ht="61.2" x14ac:dyDescent="0.3">
      <c r="A77" s="3"/>
      <c r="B77" s="25" t="s">
        <v>52</v>
      </c>
      <c r="C77" s="25" t="s">
        <v>53</v>
      </c>
      <c r="D77" s="25" t="s">
        <v>611</v>
      </c>
      <c r="E77" s="25" t="s">
        <v>54</v>
      </c>
      <c r="F77" s="25" t="s">
        <v>55</v>
      </c>
      <c r="G77" s="25" t="s">
        <v>56</v>
      </c>
      <c r="H77" s="10"/>
      <c r="I77" s="10"/>
      <c r="J77" s="10"/>
      <c r="K77" s="10"/>
      <c r="L77" s="10"/>
      <c r="M77" s="10"/>
      <c r="N77" s="10"/>
    </row>
    <row r="78" spans="1:14" ht="21" customHeight="1" x14ac:dyDescent="0.3">
      <c r="A78" s="3"/>
      <c r="B78" s="80" t="s">
        <v>72</v>
      </c>
      <c r="C78" s="54" t="s">
        <v>236</v>
      </c>
      <c r="D78" s="113">
        <v>3</v>
      </c>
      <c r="E78" s="85">
        <v>2.09</v>
      </c>
      <c r="F78" s="85">
        <v>0.5</v>
      </c>
      <c r="G78" s="132">
        <v>1.89</v>
      </c>
    </row>
    <row r="79" spans="1:14" ht="21" customHeight="1" x14ac:dyDescent="0.3">
      <c r="A79" s="3"/>
      <c r="B79" s="80"/>
      <c r="C79" s="54" t="s">
        <v>237</v>
      </c>
      <c r="D79" s="113"/>
      <c r="E79" s="132"/>
      <c r="F79" s="132"/>
      <c r="G79" s="132"/>
    </row>
    <row r="80" spans="1:14" ht="21" customHeight="1" x14ac:dyDescent="0.3">
      <c r="A80" s="3"/>
      <c r="B80" s="80"/>
      <c r="C80" s="5" t="s">
        <v>448</v>
      </c>
      <c r="D80" s="105">
        <v>43.21</v>
      </c>
      <c r="E80" s="132">
        <v>104.61</v>
      </c>
      <c r="F80" s="132">
        <v>169.78</v>
      </c>
      <c r="G80" s="132">
        <v>57.57</v>
      </c>
    </row>
    <row r="81" spans="1:7" x14ac:dyDescent="0.3">
      <c r="A81" s="3"/>
      <c r="B81" s="25" t="s">
        <v>59</v>
      </c>
      <c r="C81" s="54" t="s">
        <v>236</v>
      </c>
      <c r="D81" s="113">
        <v>8.33</v>
      </c>
      <c r="E81" s="22">
        <v>14.48</v>
      </c>
      <c r="F81" s="22">
        <f>I68/F78</f>
        <v>65</v>
      </c>
      <c r="G81" s="85">
        <f>L68/G78</f>
        <v>29.62962962962963</v>
      </c>
    </row>
    <row r="82" spans="1:7" x14ac:dyDescent="0.3">
      <c r="A82" s="3"/>
      <c r="B82" s="25"/>
      <c r="C82" s="54" t="s">
        <v>237</v>
      </c>
      <c r="D82" s="114"/>
      <c r="E82" s="132"/>
      <c r="F82" s="132"/>
      <c r="G82" s="132"/>
    </row>
    <row r="83" spans="1:7" x14ac:dyDescent="0.3">
      <c r="A83" s="3"/>
      <c r="B83" s="25"/>
      <c r="C83" s="5" t="s">
        <v>238</v>
      </c>
      <c r="D83" s="114">
        <v>62.48</v>
      </c>
      <c r="E83" s="132">
        <v>34.700000000000003</v>
      </c>
      <c r="F83" s="85">
        <f>6514.85/F80</f>
        <v>38.372305336317588</v>
      </c>
      <c r="G83" s="132">
        <f>2805.7/G80</f>
        <v>48.735452492617682</v>
      </c>
    </row>
    <row r="84" spans="1:7" x14ac:dyDescent="0.3">
      <c r="A84" s="3"/>
      <c r="B84" s="25" t="s">
        <v>60</v>
      </c>
      <c r="C84" s="54" t="s">
        <v>236</v>
      </c>
      <c r="D84" s="115">
        <v>0.1653</v>
      </c>
      <c r="E84" s="109">
        <v>7.6700000000000004E-2</v>
      </c>
      <c r="F84" s="109">
        <f>37/1118</f>
        <v>3.3094812164579608E-2</v>
      </c>
      <c r="G84" s="109">
        <v>7.2700000000000001E-2</v>
      </c>
    </row>
    <row r="85" spans="1:7" x14ac:dyDescent="0.3">
      <c r="A85" s="3"/>
      <c r="B85" s="25"/>
      <c r="C85" s="54" t="s">
        <v>237</v>
      </c>
      <c r="D85" s="113"/>
      <c r="E85" s="132"/>
      <c r="F85" s="132"/>
      <c r="G85" s="132"/>
    </row>
    <row r="86" spans="1:7" x14ac:dyDescent="0.3">
      <c r="A86" s="3"/>
      <c r="B86" s="25"/>
      <c r="C86" s="5" t="s">
        <v>238</v>
      </c>
      <c r="D86" s="115">
        <v>4.2299999999999997E-2</v>
      </c>
      <c r="E86" s="109">
        <v>9.4600000000000004E-2</v>
      </c>
      <c r="F86" s="109">
        <v>0.1358</v>
      </c>
      <c r="G86" s="109">
        <v>0.15359999999999999</v>
      </c>
    </row>
    <row r="87" spans="1:7" x14ac:dyDescent="0.3">
      <c r="A87" s="3"/>
      <c r="B87" s="25" t="s">
        <v>61</v>
      </c>
      <c r="C87" s="54" t="s">
        <v>236</v>
      </c>
      <c r="D87" s="113">
        <v>13.06</v>
      </c>
      <c r="E87" s="132">
        <v>27.32</v>
      </c>
      <c r="F87" s="132">
        <v>15.23</v>
      </c>
      <c r="G87" s="132">
        <v>23.24</v>
      </c>
    </row>
    <row r="88" spans="1:7" x14ac:dyDescent="0.3">
      <c r="A88" s="3"/>
      <c r="B88" s="54"/>
      <c r="C88" s="149" t="s">
        <v>237</v>
      </c>
      <c r="D88" s="116"/>
      <c r="E88" s="25"/>
      <c r="F88" s="25"/>
      <c r="G88" s="25"/>
    </row>
    <row r="89" spans="1:7" x14ac:dyDescent="0.3">
      <c r="A89" s="191"/>
      <c r="B89" s="5"/>
      <c r="C89" s="112" t="s">
        <v>238</v>
      </c>
      <c r="D89" s="113">
        <v>1021.93</v>
      </c>
      <c r="E89" s="193">
        <v>1105.9100000000001</v>
      </c>
      <c r="F89" s="193">
        <v>1250.8499999999999</v>
      </c>
      <c r="G89" s="193">
        <v>359.31</v>
      </c>
    </row>
    <row r="90" spans="1:7" x14ac:dyDescent="0.3">
      <c r="A90" s="191"/>
      <c r="B90" s="148"/>
      <c r="C90" s="103"/>
      <c r="D90" s="103"/>
      <c r="E90" s="103"/>
      <c r="F90" s="103"/>
      <c r="G90" s="104"/>
    </row>
    <row r="91" spans="1:7" x14ac:dyDescent="0.3">
      <c r="A91" s="3"/>
      <c r="B91" s="102"/>
      <c r="C91" s="103"/>
      <c r="D91" s="103"/>
      <c r="E91" s="103"/>
      <c r="F91" s="103"/>
      <c r="G91" s="104"/>
    </row>
    <row r="92" spans="1:7" s="2" customFormat="1" x14ac:dyDescent="0.3">
      <c r="B92" s="253" t="s">
        <v>82</v>
      </c>
      <c r="C92" s="270"/>
      <c r="D92" s="270"/>
      <c r="E92" s="270"/>
      <c r="F92" s="270"/>
      <c r="G92" s="254"/>
    </row>
    <row r="93" spans="1:7" x14ac:dyDescent="0.3">
      <c r="A93" s="3"/>
      <c r="B93" s="253" t="s">
        <v>610</v>
      </c>
      <c r="C93" s="270"/>
      <c r="D93" s="270"/>
      <c r="E93" s="270"/>
      <c r="F93" s="270"/>
      <c r="G93" s="254"/>
    </row>
    <row r="94" spans="1:7" ht="43.5" customHeight="1" x14ac:dyDescent="0.3">
      <c r="A94" s="3"/>
      <c r="B94" s="301" t="s">
        <v>759</v>
      </c>
      <c r="C94" s="302"/>
      <c r="D94" s="302"/>
      <c r="E94" s="302"/>
      <c r="F94" s="302"/>
      <c r="G94" s="303"/>
    </row>
    <row r="95" spans="1:7" x14ac:dyDescent="0.3">
      <c r="C95" s="402"/>
      <c r="D95" s="402"/>
      <c r="E95" s="402"/>
      <c r="F95" s="402"/>
      <c r="G95" s="402"/>
    </row>
    <row r="96" spans="1:7" x14ac:dyDescent="0.3">
      <c r="A96" s="3">
        <v>14</v>
      </c>
      <c r="B96" s="54" t="s">
        <v>63</v>
      </c>
      <c r="C96" s="307" t="s">
        <v>50</v>
      </c>
      <c r="D96" s="308"/>
      <c r="E96" s="308"/>
      <c r="F96" s="308"/>
      <c r="G96" s="249"/>
    </row>
    <row r="97" spans="2:8" x14ac:dyDescent="0.3">
      <c r="C97" s="55"/>
      <c r="D97" s="55"/>
      <c r="E97" s="55"/>
      <c r="F97" s="55"/>
      <c r="G97" s="55"/>
    </row>
    <row r="98" spans="2:8" x14ac:dyDescent="0.3">
      <c r="B98" s="299" t="s">
        <v>222</v>
      </c>
      <c r="C98" s="299"/>
      <c r="D98" s="299"/>
      <c r="E98" s="299"/>
      <c r="F98" s="299"/>
      <c r="G98" s="299"/>
      <c r="H98" s="299"/>
    </row>
    <row r="103" spans="2:8" x14ac:dyDescent="0.3">
      <c r="D103" s="56"/>
      <c r="E103" s="56"/>
    </row>
    <row r="104" spans="2:8" x14ac:dyDescent="0.3">
      <c r="E104" s="56"/>
    </row>
  </sheetData>
  <mergeCells count="54">
    <mergeCell ref="B58:E58"/>
    <mergeCell ref="C60:E60"/>
    <mergeCell ref="C62:E62"/>
    <mergeCell ref="B47:E47"/>
    <mergeCell ref="B50:E50"/>
    <mergeCell ref="B53:E53"/>
    <mergeCell ref="B54:B55"/>
    <mergeCell ref="C54:E55"/>
    <mergeCell ref="C56:E56"/>
    <mergeCell ref="C42:E42"/>
    <mergeCell ref="C43:E43"/>
    <mergeCell ref="C44:E44"/>
    <mergeCell ref="B45:E45"/>
    <mergeCell ref="C57:E57"/>
    <mergeCell ref="C14:E14"/>
    <mergeCell ref="B15:D15"/>
    <mergeCell ref="B39:D39"/>
    <mergeCell ref="B27:E27"/>
    <mergeCell ref="B41:E41"/>
    <mergeCell ref="B35:E35"/>
    <mergeCell ref="B12:D12"/>
    <mergeCell ref="C61:E61"/>
    <mergeCell ref="A1:B1"/>
    <mergeCell ref="C5:E5"/>
    <mergeCell ref="B6:D6"/>
    <mergeCell ref="B9:D9"/>
    <mergeCell ref="C11:E11"/>
    <mergeCell ref="B33:E33"/>
    <mergeCell ref="B17:C17"/>
    <mergeCell ref="B19:E19"/>
    <mergeCell ref="C20:E20"/>
    <mergeCell ref="C21:E21"/>
    <mergeCell ref="C22:E22"/>
    <mergeCell ref="C23:E23"/>
    <mergeCell ref="C24:E24"/>
    <mergeCell ref="B26:E26"/>
    <mergeCell ref="B92:G92"/>
    <mergeCell ref="F66:H66"/>
    <mergeCell ref="I66:K66"/>
    <mergeCell ref="L66:N66"/>
    <mergeCell ref="B70:N70"/>
    <mergeCell ref="B71:F71"/>
    <mergeCell ref="B72:F72"/>
    <mergeCell ref="B66:B67"/>
    <mergeCell ref="C66:C67"/>
    <mergeCell ref="D66:D67"/>
    <mergeCell ref="E66:E67"/>
    <mergeCell ref="B73:F73"/>
    <mergeCell ref="B75:G75"/>
    <mergeCell ref="B93:G93"/>
    <mergeCell ref="B94:G94"/>
    <mergeCell ref="C95:G95"/>
    <mergeCell ref="C96:G96"/>
    <mergeCell ref="B98:H98"/>
  </mergeCells>
  <pageMargins left="0.70866141732283472" right="0.70866141732283472" top="0.74803149606299213" bottom="0.74803149606299213" header="0.31496062992125984" footer="0.31496062992125984"/>
  <pageSetup paperSize="9" scale="25" fitToWidth="70" fitToHeight="2" orientation="landscape" horizontalDpi="4294967292"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0C7E3-DFC9-4FCD-8C7E-184FF5905C2F}">
  <dimension ref="A1:Q104"/>
  <sheetViews>
    <sheetView view="pageBreakPreview" topLeftCell="B73" zoomScale="60" zoomScaleNormal="60" workbookViewId="0">
      <selection activeCell="G88" sqref="G88"/>
    </sheetView>
  </sheetViews>
  <sheetFormatPr defaultColWidth="8.6640625" defaultRowHeight="21" x14ac:dyDescent="0.3"/>
  <cols>
    <col min="1" max="1" width="8.6640625" style="1"/>
    <col min="2" max="2" width="58.33203125" style="1" customWidth="1"/>
    <col min="3" max="3" width="81" style="1" customWidth="1"/>
    <col min="4" max="4" width="73.109375" style="1" customWidth="1"/>
    <col min="5" max="5" width="27.6640625" style="1" customWidth="1"/>
    <col min="6" max="6" width="13.33203125" style="1" customWidth="1"/>
    <col min="7" max="7" width="16.6640625" style="1" customWidth="1"/>
    <col min="8" max="8" width="22.6640625" style="1" customWidth="1"/>
    <col min="9" max="9" width="19.6640625" style="1" customWidth="1"/>
    <col min="10" max="10" width="16.6640625" style="1" customWidth="1"/>
    <col min="11" max="11" width="18.109375" style="1" customWidth="1"/>
    <col min="12" max="14" width="12.88671875" style="1" bestFit="1" customWidth="1"/>
    <col min="15" max="16384" width="8.6640625" style="1"/>
  </cols>
  <sheetData>
    <row r="1" spans="1:5" ht="20.25" customHeight="1" x14ac:dyDescent="0.3">
      <c r="A1" s="246" t="s">
        <v>0</v>
      </c>
      <c r="B1" s="246"/>
      <c r="D1" s="2"/>
    </row>
    <row r="3" spans="1:5" ht="40.799999999999997" x14ac:dyDescent="0.3">
      <c r="A3" s="3" t="s">
        <v>1</v>
      </c>
      <c r="B3" s="54" t="s">
        <v>2</v>
      </c>
      <c r="C3" s="5" t="s">
        <v>239</v>
      </c>
    </row>
    <row r="4" spans="1:5" x14ac:dyDescent="0.3">
      <c r="D4" s="22"/>
    </row>
    <row r="5" spans="1:5" x14ac:dyDescent="0.3">
      <c r="A5" s="62">
        <v>1</v>
      </c>
      <c r="B5" s="63" t="s">
        <v>3</v>
      </c>
      <c r="C5" s="247" t="s">
        <v>789</v>
      </c>
      <c r="D5" s="248"/>
      <c r="E5" s="249"/>
    </row>
    <row r="6" spans="1:5" x14ac:dyDescent="0.3">
      <c r="A6" s="3"/>
      <c r="B6" s="250" t="s">
        <v>4</v>
      </c>
      <c r="C6" s="251"/>
      <c r="D6" s="252"/>
      <c r="E6" s="10"/>
    </row>
    <row r="7" spans="1:5" x14ac:dyDescent="0.3">
      <c r="A7" s="3"/>
      <c r="B7" s="2"/>
      <c r="D7" s="22"/>
    </row>
    <row r="8" spans="1:5" x14ac:dyDescent="0.3">
      <c r="A8" s="3">
        <v>2</v>
      </c>
      <c r="B8" s="63" t="s">
        <v>5</v>
      </c>
      <c r="C8" s="12" t="s">
        <v>240</v>
      </c>
      <c r="D8" s="22"/>
    </row>
    <row r="9" spans="1:5" x14ac:dyDescent="0.3">
      <c r="A9" s="3"/>
      <c r="B9" s="250" t="s">
        <v>4</v>
      </c>
      <c r="C9" s="251"/>
      <c r="D9" s="252"/>
    </row>
    <row r="10" spans="1:5" x14ac:dyDescent="0.3">
      <c r="A10" s="3"/>
      <c r="B10" s="2"/>
      <c r="D10" s="22"/>
    </row>
    <row r="11" spans="1:5" ht="40.950000000000003" customHeight="1" x14ac:dyDescent="0.3">
      <c r="A11" s="3">
        <v>3</v>
      </c>
      <c r="B11" s="63" t="s">
        <v>6</v>
      </c>
      <c r="C11" s="247" t="s">
        <v>90</v>
      </c>
      <c r="D11" s="248"/>
      <c r="E11" s="249"/>
    </row>
    <row r="12" spans="1:5" x14ac:dyDescent="0.3">
      <c r="A12" s="3"/>
      <c r="B12" s="250" t="s">
        <v>4</v>
      </c>
      <c r="C12" s="251"/>
      <c r="D12" s="252"/>
      <c r="E12" s="10"/>
    </row>
    <row r="13" spans="1:5" x14ac:dyDescent="0.3">
      <c r="A13" s="3"/>
      <c r="B13" s="2"/>
      <c r="D13" s="22"/>
    </row>
    <row r="14" spans="1:5" x14ac:dyDescent="0.3">
      <c r="A14" s="3">
        <v>4</v>
      </c>
      <c r="B14" s="54" t="s">
        <v>92</v>
      </c>
      <c r="C14" s="247" t="s">
        <v>90</v>
      </c>
      <c r="D14" s="248"/>
      <c r="E14" s="249"/>
    </row>
    <row r="15" spans="1:5" x14ac:dyDescent="0.3">
      <c r="A15" s="3"/>
      <c r="B15" s="250" t="s">
        <v>4</v>
      </c>
      <c r="C15" s="251"/>
      <c r="D15" s="252"/>
    </row>
    <row r="16" spans="1:5" x14ac:dyDescent="0.3">
      <c r="A16" s="3">
        <v>4</v>
      </c>
      <c r="B16" s="54" t="s">
        <v>7</v>
      </c>
      <c r="C16" s="5" t="s">
        <v>241</v>
      </c>
      <c r="D16" s="22"/>
    </row>
    <row r="17" spans="1:14" x14ac:dyDescent="0.3">
      <c r="A17" s="3"/>
      <c r="B17" s="253" t="s">
        <v>8</v>
      </c>
      <c r="C17" s="254"/>
      <c r="D17" s="22"/>
    </row>
    <row r="18" spans="1:14" x14ac:dyDescent="0.3">
      <c r="A18" s="3"/>
      <c r="D18" s="22"/>
    </row>
    <row r="19" spans="1:14" x14ac:dyDescent="0.3">
      <c r="A19" s="3">
        <v>5</v>
      </c>
      <c r="B19" s="255" t="s">
        <v>9</v>
      </c>
      <c r="C19" s="256"/>
      <c r="D19" s="256"/>
      <c r="E19" s="257"/>
      <c r="F19" s="2"/>
      <c r="G19" s="2"/>
      <c r="H19" s="2"/>
      <c r="I19" s="2"/>
      <c r="J19" s="10"/>
      <c r="K19" s="10"/>
      <c r="L19" s="10"/>
      <c r="M19" s="10"/>
      <c r="N19" s="10"/>
    </row>
    <row r="20" spans="1:14" x14ac:dyDescent="0.3">
      <c r="A20" s="3"/>
      <c r="B20" s="65" t="s">
        <v>10</v>
      </c>
      <c r="C20" s="243" t="s">
        <v>11</v>
      </c>
      <c r="D20" s="244"/>
      <c r="E20" s="245"/>
      <c r="F20" s="66"/>
      <c r="G20" s="10"/>
      <c r="H20" s="10"/>
      <c r="I20" s="10"/>
      <c r="J20" s="10"/>
      <c r="K20" s="10"/>
      <c r="L20" s="10"/>
      <c r="M20" s="10"/>
      <c r="N20" s="10"/>
    </row>
    <row r="21" spans="1:14" ht="61.2" x14ac:dyDescent="0.3">
      <c r="A21" s="3"/>
      <c r="B21" s="65" t="s">
        <v>242</v>
      </c>
      <c r="C21" s="243" t="s">
        <v>11</v>
      </c>
      <c r="D21" s="244"/>
      <c r="E21" s="245"/>
      <c r="F21" s="66"/>
      <c r="G21" s="10"/>
      <c r="I21" s="10"/>
      <c r="J21" s="10"/>
      <c r="K21" s="10"/>
      <c r="L21" s="10"/>
      <c r="M21" s="10"/>
      <c r="N21" s="10"/>
    </row>
    <row r="22" spans="1:14" x14ac:dyDescent="0.3">
      <c r="A22" s="3"/>
      <c r="B22" s="65" t="s">
        <v>243</v>
      </c>
      <c r="C22" s="438" t="s">
        <v>11</v>
      </c>
      <c r="D22" s="439"/>
      <c r="E22" s="440"/>
      <c r="F22" s="66"/>
      <c r="G22" s="10"/>
      <c r="H22" s="10"/>
      <c r="I22" s="10"/>
      <c r="J22" s="10"/>
      <c r="K22" s="10"/>
      <c r="L22" s="10"/>
      <c r="M22" s="10"/>
      <c r="N22" s="10"/>
    </row>
    <row r="23" spans="1:14" x14ac:dyDescent="0.3">
      <c r="A23" s="3"/>
      <c r="B23" s="64" t="s">
        <v>252</v>
      </c>
      <c r="C23" s="438" t="s">
        <v>11</v>
      </c>
      <c r="D23" s="439"/>
      <c r="E23" s="440"/>
      <c r="F23" s="66"/>
      <c r="G23" s="10"/>
      <c r="H23" s="10"/>
      <c r="I23" s="10"/>
      <c r="J23" s="10"/>
      <c r="K23" s="10"/>
      <c r="L23" s="10"/>
      <c r="M23" s="10"/>
      <c r="N23" s="10"/>
    </row>
    <row r="24" spans="1:14" x14ac:dyDescent="0.3">
      <c r="A24" s="3"/>
      <c r="B24" s="67" t="s">
        <v>253</v>
      </c>
      <c r="C24" s="438" t="s">
        <v>11</v>
      </c>
      <c r="D24" s="439"/>
      <c r="E24" s="440"/>
      <c r="F24" s="66"/>
      <c r="G24" s="10"/>
      <c r="H24" s="10"/>
      <c r="I24" s="10"/>
      <c r="J24" s="10"/>
      <c r="K24" s="10"/>
      <c r="L24" s="10"/>
      <c r="M24" s="10"/>
      <c r="N24" s="10"/>
    </row>
    <row r="25" spans="1:14" ht="40.5" customHeight="1" x14ac:dyDescent="0.3">
      <c r="A25" s="3"/>
      <c r="B25" s="262" t="s">
        <v>780</v>
      </c>
      <c r="C25" s="262"/>
      <c r="D25" s="262"/>
      <c r="E25" s="262"/>
      <c r="F25" s="66"/>
      <c r="G25" s="10"/>
      <c r="H25" s="10"/>
      <c r="I25" s="10"/>
      <c r="J25" s="10"/>
      <c r="K25" s="10"/>
      <c r="L25" s="10"/>
      <c r="M25" s="10"/>
      <c r="N25" s="10"/>
    </row>
    <row r="26" spans="1:14" x14ac:dyDescent="0.3">
      <c r="A26" s="3">
        <v>6</v>
      </c>
      <c r="B26" s="261" t="s">
        <v>74</v>
      </c>
      <c r="C26" s="262"/>
      <c r="D26" s="262"/>
      <c r="E26" s="263"/>
      <c r="F26" s="2"/>
      <c r="G26" s="2"/>
      <c r="H26" s="10"/>
      <c r="I26" s="2"/>
      <c r="J26" s="2"/>
    </row>
    <row r="27" spans="1:14" x14ac:dyDescent="0.3">
      <c r="A27" s="3"/>
      <c r="B27" s="264" t="s">
        <v>17</v>
      </c>
      <c r="C27" s="265"/>
      <c r="D27" s="265"/>
      <c r="E27" s="266"/>
      <c r="F27" s="66"/>
    </row>
    <row r="28" spans="1:14" x14ac:dyDescent="0.3">
      <c r="A28" s="3"/>
      <c r="B28" s="67" t="s">
        <v>18</v>
      </c>
      <c r="C28" s="25" t="s">
        <v>244</v>
      </c>
      <c r="D28" s="25" t="s">
        <v>245</v>
      </c>
      <c r="E28" s="25" t="s">
        <v>246</v>
      </c>
      <c r="F28" s="66"/>
    </row>
    <row r="29" spans="1:14" ht="20.7" customHeight="1" x14ac:dyDescent="0.3">
      <c r="A29" s="3"/>
      <c r="B29" s="68" t="s">
        <v>21</v>
      </c>
      <c r="C29" s="27">
        <v>3773.92</v>
      </c>
      <c r="D29" s="27">
        <v>4821.26</v>
      </c>
      <c r="E29" s="27">
        <v>6042.5</v>
      </c>
      <c r="F29" s="66"/>
    </row>
    <row r="30" spans="1:14" x14ac:dyDescent="0.3">
      <c r="A30" s="3"/>
      <c r="B30" s="68" t="s">
        <v>23</v>
      </c>
      <c r="C30" s="27">
        <v>144.18</v>
      </c>
      <c r="D30" s="27">
        <v>122.53</v>
      </c>
      <c r="E30" s="27">
        <v>187.73</v>
      </c>
      <c r="F30" s="66"/>
    </row>
    <row r="31" spans="1:14" x14ac:dyDescent="0.3">
      <c r="A31" s="3"/>
      <c r="B31" s="68" t="s">
        <v>24</v>
      </c>
      <c r="C31" s="27">
        <v>775.72</v>
      </c>
      <c r="D31" s="27">
        <v>775.72</v>
      </c>
      <c r="E31" s="27">
        <v>939.72</v>
      </c>
      <c r="F31" s="66"/>
      <c r="H31" s="57"/>
    </row>
    <row r="32" spans="1:14" x14ac:dyDescent="0.3">
      <c r="A32" s="3"/>
      <c r="B32" s="68" t="s">
        <v>25</v>
      </c>
      <c r="C32" s="27">
        <v>1152.83</v>
      </c>
      <c r="D32" s="27">
        <v>1275.3699999999999</v>
      </c>
      <c r="E32" s="27">
        <v>2570.1</v>
      </c>
      <c r="F32" s="66"/>
    </row>
    <row r="33" spans="1:10" x14ac:dyDescent="0.3">
      <c r="A33" s="3"/>
      <c r="B33" s="253" t="s">
        <v>793</v>
      </c>
      <c r="C33" s="270"/>
      <c r="D33" s="270"/>
      <c r="E33" s="254"/>
      <c r="F33" s="66"/>
    </row>
    <row r="34" spans="1:10" x14ac:dyDescent="0.3">
      <c r="A34" s="3"/>
      <c r="B34" s="10"/>
      <c r="C34" s="66"/>
      <c r="D34" s="66"/>
      <c r="E34" s="66"/>
      <c r="F34" s="66"/>
    </row>
    <row r="35" spans="1:10" ht="41.7" customHeight="1" x14ac:dyDescent="0.3">
      <c r="A35" s="3">
        <v>7</v>
      </c>
      <c r="B35" s="261" t="s">
        <v>26</v>
      </c>
      <c r="C35" s="262"/>
      <c r="D35" s="262"/>
      <c r="E35" s="263"/>
      <c r="F35" s="2"/>
      <c r="G35" s="2"/>
      <c r="H35" s="2"/>
      <c r="I35" s="2"/>
      <c r="J35" s="2"/>
    </row>
    <row r="36" spans="1:10" x14ac:dyDescent="0.3">
      <c r="A36" s="3"/>
      <c r="B36" s="67" t="s">
        <v>247</v>
      </c>
      <c r="C36" s="27" t="s">
        <v>455</v>
      </c>
      <c r="D36" s="5"/>
      <c r="E36" s="5"/>
      <c r="F36" s="10"/>
    </row>
    <row r="37" spans="1:10" x14ac:dyDescent="0.3">
      <c r="A37" s="3"/>
      <c r="B37" s="67" t="s">
        <v>28</v>
      </c>
      <c r="C37" s="27" t="s">
        <v>455</v>
      </c>
      <c r="D37" s="10"/>
      <c r="E37" s="10"/>
      <c r="F37" s="10"/>
    </row>
    <row r="38" spans="1:10" x14ac:dyDescent="0.3">
      <c r="A38" s="3"/>
      <c r="B38" s="67" t="s">
        <v>29</v>
      </c>
      <c r="C38" s="27" t="s">
        <v>455</v>
      </c>
      <c r="D38" s="10"/>
      <c r="E38" s="10"/>
      <c r="F38" s="10"/>
    </row>
    <row r="39" spans="1:10" ht="42" customHeight="1" x14ac:dyDescent="0.3">
      <c r="A39" s="3"/>
      <c r="B39" s="271" t="s">
        <v>251</v>
      </c>
      <c r="C39" s="271"/>
      <c r="D39" s="271"/>
      <c r="E39" s="10"/>
      <c r="F39" s="10"/>
    </row>
    <row r="40" spans="1:10" x14ac:dyDescent="0.3">
      <c r="A40" s="3"/>
      <c r="B40" s="66"/>
      <c r="C40" s="10"/>
      <c r="D40" s="10"/>
      <c r="E40" s="10"/>
      <c r="F40" s="10"/>
    </row>
    <row r="41" spans="1:10" x14ac:dyDescent="0.3">
      <c r="A41" s="3">
        <v>8</v>
      </c>
      <c r="B41" s="261" t="s">
        <v>30</v>
      </c>
      <c r="C41" s="262"/>
      <c r="D41" s="262"/>
      <c r="E41" s="263"/>
      <c r="F41" s="2"/>
      <c r="G41" s="2"/>
      <c r="H41" s="2"/>
      <c r="I41" s="2"/>
      <c r="J41" s="2"/>
    </row>
    <row r="42" spans="1:10" x14ac:dyDescent="0.3">
      <c r="A42" s="3"/>
      <c r="B42" s="67" t="s">
        <v>31</v>
      </c>
      <c r="C42" s="258" t="s">
        <v>495</v>
      </c>
      <c r="D42" s="259"/>
      <c r="E42" s="260"/>
      <c r="F42" s="10"/>
    </row>
    <row r="43" spans="1:10" x14ac:dyDescent="0.3">
      <c r="A43" s="3"/>
      <c r="B43" s="67" t="s">
        <v>28</v>
      </c>
      <c r="C43" s="258" t="s">
        <v>653</v>
      </c>
      <c r="D43" s="259"/>
      <c r="E43" s="260"/>
      <c r="F43" s="10"/>
    </row>
    <row r="44" spans="1:10" x14ac:dyDescent="0.3">
      <c r="A44" s="3"/>
      <c r="B44" s="67" t="s">
        <v>29</v>
      </c>
      <c r="C44" s="258" t="s">
        <v>85</v>
      </c>
      <c r="D44" s="259"/>
      <c r="E44" s="260"/>
      <c r="F44" s="10"/>
    </row>
    <row r="45" spans="1:10" x14ac:dyDescent="0.3">
      <c r="A45" s="3"/>
      <c r="B45" s="253" t="s">
        <v>794</v>
      </c>
      <c r="C45" s="270"/>
      <c r="D45" s="270"/>
      <c r="E45" s="254"/>
      <c r="F45" s="10"/>
    </row>
    <row r="46" spans="1:10" x14ac:dyDescent="0.3">
      <c r="A46" s="3"/>
      <c r="D46" s="22"/>
      <c r="E46" s="10"/>
    </row>
    <row r="47" spans="1:10" ht="83.4" customHeight="1" x14ac:dyDescent="0.3">
      <c r="A47" s="191">
        <v>9</v>
      </c>
      <c r="B47" s="262" t="s">
        <v>32</v>
      </c>
      <c r="C47" s="262"/>
      <c r="D47" s="262"/>
      <c r="E47" s="263"/>
      <c r="F47" s="2"/>
      <c r="G47" s="2"/>
      <c r="H47" s="2"/>
      <c r="I47" s="2"/>
    </row>
    <row r="48" spans="1:10" ht="81.599999999999994" x14ac:dyDescent="0.3">
      <c r="A48" s="191"/>
      <c r="B48" s="24" t="s">
        <v>33</v>
      </c>
      <c r="C48" s="25" t="s">
        <v>34</v>
      </c>
      <c r="D48" s="25" t="s">
        <v>96</v>
      </c>
      <c r="E48" s="25" t="s">
        <v>35</v>
      </c>
    </row>
    <row r="49" spans="1:14" ht="166.2" customHeight="1" x14ac:dyDescent="0.3">
      <c r="A49" s="191"/>
      <c r="B49" s="189" t="s">
        <v>261</v>
      </c>
      <c r="C49" s="27" t="s">
        <v>262</v>
      </c>
      <c r="D49" s="145" t="s">
        <v>262</v>
      </c>
      <c r="E49" s="27" t="s">
        <v>50</v>
      </c>
    </row>
    <row r="50" spans="1:14" x14ac:dyDescent="0.3">
      <c r="A50" s="191"/>
      <c r="B50" s="410"/>
      <c r="C50" s="410"/>
      <c r="D50" s="410"/>
      <c r="E50" s="411"/>
    </row>
    <row r="51" spans="1:14" x14ac:dyDescent="0.3">
      <c r="A51" s="191"/>
      <c r="B51" s="207" t="s">
        <v>810</v>
      </c>
      <c r="C51" s="87"/>
      <c r="D51" s="87"/>
      <c r="E51" s="87"/>
    </row>
    <row r="52" spans="1:14" x14ac:dyDescent="0.3">
      <c r="A52" s="191"/>
      <c r="B52" s="28"/>
      <c r="C52" s="22"/>
      <c r="D52" s="22"/>
      <c r="E52" s="22"/>
      <c r="F52" s="66"/>
      <c r="G52" s="66"/>
      <c r="H52" s="66"/>
      <c r="I52" s="66"/>
    </row>
    <row r="53" spans="1:14" ht="43.2" customHeight="1" x14ac:dyDescent="0.3">
      <c r="A53" s="191">
        <v>10</v>
      </c>
      <c r="B53" s="262" t="s">
        <v>32</v>
      </c>
      <c r="C53" s="262"/>
      <c r="D53" s="262"/>
      <c r="E53" s="263"/>
      <c r="F53" s="66"/>
      <c r="G53" s="66"/>
      <c r="H53" s="66"/>
    </row>
    <row r="54" spans="1:14" x14ac:dyDescent="0.3">
      <c r="A54" s="191"/>
      <c r="B54" s="275" t="s">
        <v>36</v>
      </c>
      <c r="C54" s="277" t="s">
        <v>262</v>
      </c>
      <c r="D54" s="278"/>
      <c r="E54" s="279"/>
      <c r="K54" s="2"/>
    </row>
    <row r="55" spans="1:14" ht="100.2" customHeight="1" x14ac:dyDescent="0.3">
      <c r="A55" s="191"/>
      <c r="B55" s="276"/>
      <c r="C55" s="280"/>
      <c r="D55" s="281"/>
      <c r="E55" s="282"/>
      <c r="K55" s="2"/>
    </row>
    <row r="56" spans="1:14" ht="78.599999999999994" customHeight="1" x14ac:dyDescent="0.3">
      <c r="A56" s="191"/>
      <c r="B56" s="29" t="s">
        <v>37</v>
      </c>
      <c r="C56" s="283" t="s">
        <v>262</v>
      </c>
      <c r="D56" s="284"/>
      <c r="E56" s="285"/>
    </row>
    <row r="57" spans="1:14" x14ac:dyDescent="0.3">
      <c r="A57" s="70"/>
      <c r="B57" s="29" t="s">
        <v>38</v>
      </c>
      <c r="C57" s="286" t="s">
        <v>232</v>
      </c>
      <c r="D57" s="287"/>
      <c r="E57" s="288"/>
      <c r="K57" s="30"/>
    </row>
    <row r="58" spans="1:14" s="32" customFormat="1" x14ac:dyDescent="0.4">
      <c r="A58" s="31" t="s">
        <v>39</v>
      </c>
      <c r="B58" s="289" t="s">
        <v>810</v>
      </c>
      <c r="C58" s="290"/>
      <c r="D58" s="290"/>
      <c r="E58" s="291"/>
    </row>
    <row r="59" spans="1:14" x14ac:dyDescent="0.3">
      <c r="A59" s="71"/>
      <c r="B59" s="72"/>
      <c r="C59" s="73"/>
      <c r="D59" s="73"/>
      <c r="E59" s="73"/>
      <c r="F59" s="73"/>
    </row>
    <row r="60" spans="1:14" x14ac:dyDescent="0.3">
      <c r="A60" s="3">
        <v>11</v>
      </c>
      <c r="B60" s="54" t="s">
        <v>41</v>
      </c>
      <c r="C60" s="270" t="s">
        <v>121</v>
      </c>
      <c r="D60" s="270"/>
      <c r="E60" s="270"/>
      <c r="F60" s="2"/>
      <c r="G60" s="2"/>
      <c r="H60" s="74"/>
      <c r="I60" s="2"/>
      <c r="J60" s="2"/>
    </row>
    <row r="61" spans="1:14" ht="20.7" customHeight="1" x14ac:dyDescent="0.3">
      <c r="A61" s="3"/>
      <c r="B61" s="66"/>
      <c r="C61" s="270"/>
      <c r="D61" s="270"/>
      <c r="E61" s="270"/>
      <c r="F61" s="66"/>
      <c r="G61" s="66"/>
      <c r="H61" s="75"/>
      <c r="I61" s="75"/>
      <c r="J61" s="66"/>
    </row>
    <row r="62" spans="1:14" s="42" customFormat="1" x14ac:dyDescent="0.3">
      <c r="A62" s="76">
        <v>12</v>
      </c>
      <c r="B62" s="77" t="s">
        <v>42</v>
      </c>
      <c r="C62" s="272"/>
      <c r="D62" s="273"/>
      <c r="E62" s="274"/>
      <c r="F62" s="78"/>
      <c r="G62" s="79"/>
      <c r="H62" s="79"/>
      <c r="I62" s="79"/>
      <c r="J62" s="79"/>
      <c r="K62" s="79"/>
      <c r="L62" s="79"/>
      <c r="M62" s="79"/>
      <c r="N62" s="79"/>
    </row>
    <row r="63" spans="1:14" x14ac:dyDescent="0.3">
      <c r="A63" s="3"/>
      <c r="B63" s="2"/>
      <c r="C63" s="2"/>
      <c r="D63" s="2"/>
      <c r="E63" s="74"/>
      <c r="F63" s="74"/>
      <c r="G63" s="74"/>
      <c r="H63" s="2"/>
      <c r="I63" s="2"/>
      <c r="J63" s="2"/>
      <c r="K63" s="2"/>
      <c r="L63" s="2"/>
      <c r="M63" s="2"/>
      <c r="N63" s="2"/>
    </row>
    <row r="64" spans="1:14" x14ac:dyDescent="0.3">
      <c r="A64" s="3"/>
      <c r="B64" s="67" t="s">
        <v>43</v>
      </c>
      <c r="C64" s="68" t="s">
        <v>248</v>
      </c>
      <c r="D64" s="66"/>
      <c r="E64" s="66"/>
      <c r="F64" s="75"/>
      <c r="G64" s="75"/>
      <c r="H64" s="66"/>
      <c r="I64" s="66"/>
      <c r="J64" s="66"/>
      <c r="K64" s="66"/>
      <c r="L64" s="66"/>
      <c r="M64" s="66"/>
      <c r="N64" s="66"/>
    </row>
    <row r="65" spans="1:15" x14ac:dyDescent="0.3">
      <c r="A65" s="3"/>
      <c r="B65" s="66"/>
      <c r="C65" s="66"/>
      <c r="D65" s="66"/>
      <c r="E65" s="66"/>
      <c r="F65" s="66"/>
      <c r="G65" s="66"/>
      <c r="H65" s="66"/>
      <c r="I65" s="66"/>
      <c r="J65" s="66"/>
      <c r="K65" s="66"/>
      <c r="L65" s="66"/>
      <c r="M65" s="66"/>
      <c r="N65" s="66"/>
    </row>
    <row r="66" spans="1:15" ht="87.6" customHeight="1" x14ac:dyDescent="0.3">
      <c r="A66" s="3"/>
      <c r="B66" s="295" t="s">
        <v>44</v>
      </c>
      <c r="C66" s="295" t="s">
        <v>233</v>
      </c>
      <c r="D66" s="295" t="s">
        <v>68</v>
      </c>
      <c r="E66" s="297" t="s">
        <v>45</v>
      </c>
      <c r="F66" s="292" t="s">
        <v>254</v>
      </c>
      <c r="G66" s="293"/>
      <c r="H66" s="294"/>
      <c r="I66" s="292" t="s">
        <v>255</v>
      </c>
      <c r="J66" s="293"/>
      <c r="K66" s="294"/>
      <c r="L66" s="292" t="s">
        <v>197</v>
      </c>
      <c r="M66" s="293"/>
      <c r="N66" s="294"/>
    </row>
    <row r="67" spans="1:15" ht="61.2" x14ac:dyDescent="0.3">
      <c r="A67" s="3"/>
      <c r="B67" s="296"/>
      <c r="C67" s="296"/>
      <c r="D67" s="296"/>
      <c r="E67" s="298"/>
      <c r="F67" s="67" t="s">
        <v>46</v>
      </c>
      <c r="G67" s="67" t="s">
        <v>47</v>
      </c>
      <c r="H67" s="67" t="s">
        <v>48</v>
      </c>
      <c r="I67" s="67" t="s">
        <v>49</v>
      </c>
      <c r="J67" s="67" t="s">
        <v>47</v>
      </c>
      <c r="K67" s="67" t="s">
        <v>48</v>
      </c>
      <c r="L67" s="67" t="s">
        <v>49</v>
      </c>
      <c r="M67" s="67" t="s">
        <v>47</v>
      </c>
      <c r="N67" s="67" t="s">
        <v>48</v>
      </c>
    </row>
    <row r="68" spans="1:15" ht="105" customHeight="1" x14ac:dyDescent="0.3">
      <c r="A68" s="3"/>
      <c r="B68" s="67" t="s">
        <v>795</v>
      </c>
      <c r="C68" s="81">
        <v>57.75</v>
      </c>
      <c r="D68" s="82">
        <v>76</v>
      </c>
      <c r="E68" s="82">
        <v>63.95</v>
      </c>
      <c r="F68" s="121">
        <v>57.65</v>
      </c>
      <c r="G68" s="121">
        <v>63.6</v>
      </c>
      <c r="H68" s="121">
        <v>52.55</v>
      </c>
      <c r="I68" s="121">
        <v>66.849999999999994</v>
      </c>
      <c r="J68" s="121">
        <v>166.5</v>
      </c>
      <c r="K68" s="121">
        <v>48.5</v>
      </c>
      <c r="L68" s="121">
        <v>90.25</v>
      </c>
      <c r="M68" s="121">
        <v>160</v>
      </c>
      <c r="N68" s="121">
        <v>66.5</v>
      </c>
    </row>
    <row r="69" spans="1:15" ht="40.799999999999997" x14ac:dyDescent="0.3">
      <c r="A69" s="3"/>
      <c r="B69" s="69" t="s">
        <v>67</v>
      </c>
      <c r="C69" s="82">
        <v>17624.05</v>
      </c>
      <c r="D69" s="82">
        <v>18203.400000000001</v>
      </c>
      <c r="E69" s="82">
        <v>19833.150000000001</v>
      </c>
      <c r="F69" s="121">
        <v>22326.9</v>
      </c>
      <c r="G69" s="81">
        <v>22526.6</v>
      </c>
      <c r="H69" s="121">
        <v>17312.75</v>
      </c>
      <c r="I69" s="121">
        <v>23519.35</v>
      </c>
      <c r="J69" s="121">
        <v>26277.35</v>
      </c>
      <c r="K69" s="121">
        <v>21281.45</v>
      </c>
      <c r="L69" s="121">
        <v>22331.4</v>
      </c>
      <c r="M69" s="121">
        <v>26373.200000000001</v>
      </c>
      <c r="N69" s="121">
        <v>21743.65</v>
      </c>
    </row>
    <row r="70" spans="1:15" x14ac:dyDescent="0.3">
      <c r="A70" s="3"/>
      <c r="B70" s="253" t="s">
        <v>99</v>
      </c>
      <c r="C70" s="270"/>
      <c r="D70" s="270"/>
      <c r="E70" s="270"/>
      <c r="F70" s="270"/>
      <c r="G70" s="270"/>
      <c r="H70" s="270"/>
      <c r="I70" s="270"/>
      <c r="J70" s="270"/>
      <c r="K70" s="270"/>
      <c r="L70" s="270"/>
      <c r="M70" s="270"/>
      <c r="N70" s="254"/>
    </row>
    <row r="71" spans="1:15" x14ac:dyDescent="0.3">
      <c r="A71" s="3"/>
      <c r="B71" s="253" t="s">
        <v>796</v>
      </c>
      <c r="C71" s="270"/>
      <c r="D71" s="270"/>
      <c r="E71" s="270"/>
      <c r="F71" s="254"/>
      <c r="G71" s="83"/>
      <c r="H71" s="83"/>
      <c r="I71" s="83"/>
      <c r="J71" s="83"/>
      <c r="K71" s="83"/>
      <c r="L71" s="83"/>
      <c r="M71" s="83"/>
      <c r="N71" s="83"/>
    </row>
    <row r="72" spans="1:15" ht="50.25" customHeight="1" x14ac:dyDescent="0.3">
      <c r="A72" s="3"/>
      <c r="B72" s="253" t="s">
        <v>760</v>
      </c>
      <c r="C72" s="270"/>
      <c r="D72" s="270"/>
      <c r="E72" s="270"/>
      <c r="F72" s="254"/>
      <c r="G72" s="83"/>
      <c r="H72" s="83"/>
      <c r="I72" s="83"/>
      <c r="J72" s="83"/>
      <c r="K72" s="83"/>
      <c r="L72" s="83"/>
      <c r="M72" s="83"/>
      <c r="N72" s="83"/>
    </row>
    <row r="73" spans="1:15" x14ac:dyDescent="0.3">
      <c r="A73" s="3"/>
      <c r="B73" s="253" t="s">
        <v>71</v>
      </c>
      <c r="C73" s="270"/>
      <c r="D73" s="270"/>
      <c r="E73" s="270"/>
      <c r="F73" s="254"/>
      <c r="G73" s="83"/>
      <c r="H73" s="83"/>
      <c r="I73" s="83"/>
      <c r="J73" s="83"/>
      <c r="K73" s="83"/>
      <c r="L73" s="83"/>
      <c r="M73" s="83"/>
      <c r="N73" s="83"/>
    </row>
    <row r="74" spans="1:15" x14ac:dyDescent="0.3">
      <c r="A74" s="3"/>
      <c r="B74" s="84"/>
      <c r="C74" s="84"/>
      <c r="D74" s="84"/>
      <c r="E74" s="84"/>
      <c r="F74" s="84"/>
      <c r="G74" s="10"/>
      <c r="H74" s="10"/>
      <c r="I74" s="10"/>
      <c r="J74" s="10"/>
      <c r="K74" s="10"/>
      <c r="L74" s="10"/>
      <c r="M74" s="10"/>
      <c r="N74" s="10"/>
    </row>
    <row r="75" spans="1:15" ht="39" customHeight="1" x14ac:dyDescent="0.3">
      <c r="A75" s="3">
        <v>13</v>
      </c>
      <c r="B75" s="261" t="s">
        <v>51</v>
      </c>
      <c r="C75" s="262"/>
      <c r="D75" s="262"/>
      <c r="E75" s="262"/>
      <c r="F75" s="262"/>
      <c r="G75" s="263"/>
      <c r="H75" s="2"/>
      <c r="I75" s="2"/>
      <c r="J75" s="2"/>
      <c r="K75" s="2"/>
      <c r="L75" s="2"/>
      <c r="M75" s="2"/>
      <c r="N75" s="2"/>
    </row>
    <row r="76" spans="1:15" x14ac:dyDescent="0.3">
      <c r="A76" s="3"/>
      <c r="C76" s="66"/>
      <c r="D76" s="66"/>
      <c r="E76" s="66"/>
      <c r="F76" s="66"/>
      <c r="G76" s="66"/>
      <c r="H76" s="66"/>
      <c r="I76" s="66"/>
      <c r="J76" s="66"/>
      <c r="K76" s="66"/>
      <c r="L76" s="66"/>
      <c r="M76" s="66"/>
      <c r="N76" s="66"/>
    </row>
    <row r="77" spans="1:15" ht="61.2" x14ac:dyDescent="0.3">
      <c r="A77" s="3"/>
      <c r="B77" s="25" t="s">
        <v>52</v>
      </c>
      <c r="C77" s="25" t="s">
        <v>53</v>
      </c>
      <c r="D77" s="25" t="s">
        <v>259</v>
      </c>
      <c r="E77" s="25" t="s">
        <v>54</v>
      </c>
      <c r="F77" s="25" t="s">
        <v>55</v>
      </c>
      <c r="G77" s="25" t="s">
        <v>56</v>
      </c>
      <c r="H77" s="10"/>
      <c r="I77" s="10"/>
      <c r="J77" s="10"/>
      <c r="K77" s="10"/>
      <c r="L77" s="10"/>
      <c r="M77" s="10"/>
      <c r="N77" s="10"/>
    </row>
    <row r="78" spans="1:15" ht="39" customHeight="1" x14ac:dyDescent="0.3">
      <c r="A78" s="3"/>
      <c r="B78" s="80" t="s">
        <v>72</v>
      </c>
      <c r="C78" s="54" t="s">
        <v>654</v>
      </c>
      <c r="D78" s="134">
        <v>0.37</v>
      </c>
      <c r="E78" s="88">
        <v>1.86</v>
      </c>
      <c r="F78" s="88">
        <v>1.58</v>
      </c>
      <c r="G78" s="88">
        <v>2.13</v>
      </c>
    </row>
    <row r="79" spans="1:15" ht="21" customHeight="1" x14ac:dyDescent="0.3">
      <c r="A79" s="3"/>
      <c r="B79" s="80"/>
      <c r="C79" s="54" t="s">
        <v>258</v>
      </c>
      <c r="D79" s="134"/>
      <c r="E79" s="88"/>
      <c r="F79" s="88"/>
      <c r="G79" s="88"/>
    </row>
    <row r="80" spans="1:15" ht="21" customHeight="1" x14ac:dyDescent="0.3">
      <c r="A80" s="3"/>
      <c r="B80" s="80"/>
      <c r="C80" s="5" t="s">
        <v>121</v>
      </c>
      <c r="D80" s="134"/>
      <c r="E80" s="88"/>
      <c r="F80" s="88"/>
      <c r="G80" s="88"/>
      <c r="O80" s="168">
        <v>66.849999999999994</v>
      </c>
    </row>
    <row r="81" spans="1:17" x14ac:dyDescent="0.3">
      <c r="A81" s="3"/>
      <c r="B81" s="25" t="s">
        <v>59</v>
      </c>
      <c r="C81" s="54" t="s">
        <v>256</v>
      </c>
      <c r="D81" s="135" t="s">
        <v>121</v>
      </c>
      <c r="E81" s="88">
        <f>F68/E78</f>
        <v>30.994623655913976</v>
      </c>
      <c r="F81" s="90">
        <f>O80/F78</f>
        <v>42.310126582278478</v>
      </c>
      <c r="G81" s="90">
        <f>L68/G78</f>
        <v>42.370892018779344</v>
      </c>
    </row>
    <row r="82" spans="1:17" ht="63" x14ac:dyDescent="0.3">
      <c r="A82" s="3"/>
      <c r="B82" s="25"/>
      <c r="C82" s="54" t="s">
        <v>258</v>
      </c>
      <c r="D82" s="134"/>
      <c r="E82" s="88"/>
      <c r="F82" s="88"/>
      <c r="G82" s="88"/>
      <c r="O82" s="1" t="s">
        <v>655</v>
      </c>
      <c r="P82" s="1" t="s">
        <v>645</v>
      </c>
    </row>
    <row r="83" spans="1:17" x14ac:dyDescent="0.3">
      <c r="A83" s="3"/>
      <c r="B83" s="25"/>
      <c r="C83" s="5" t="s">
        <v>121</v>
      </c>
      <c r="D83" s="134"/>
      <c r="E83" s="88"/>
      <c r="F83" s="88"/>
      <c r="G83" s="88"/>
      <c r="O83" s="1">
        <v>122.53</v>
      </c>
      <c r="P83" s="1">
        <f>775.72+ 1275.37</f>
        <v>2051.09</v>
      </c>
      <c r="Q83" s="1">
        <v>205109000</v>
      </c>
    </row>
    <row r="84" spans="1:17" x14ac:dyDescent="0.3">
      <c r="A84" s="3"/>
      <c r="B84" s="25" t="s">
        <v>60</v>
      </c>
      <c r="C84" s="54" t="s">
        <v>256</v>
      </c>
      <c r="D84" s="136">
        <v>3.7199999999999997E-2</v>
      </c>
      <c r="E84" s="137">
        <v>7.4700000000000003E-2</v>
      </c>
      <c r="F84" s="110">
        <f>O83/P83</f>
        <v>5.9738968060884697E-2</v>
      </c>
      <c r="G84" s="110">
        <v>5.3499999999999999E-2</v>
      </c>
    </row>
    <row r="85" spans="1:17" ht="63" x14ac:dyDescent="0.3">
      <c r="A85" s="3"/>
      <c r="B85" s="25"/>
      <c r="C85" s="54" t="s">
        <v>258</v>
      </c>
      <c r="D85" s="134"/>
      <c r="E85" s="88"/>
      <c r="F85" s="88"/>
      <c r="G85" s="88"/>
      <c r="O85" s="1" t="s">
        <v>656</v>
      </c>
    </row>
    <row r="86" spans="1:17" x14ac:dyDescent="0.3">
      <c r="A86" s="3"/>
      <c r="B86" s="25"/>
      <c r="C86" s="5" t="s">
        <v>121</v>
      </c>
      <c r="D86" s="134"/>
      <c r="E86" s="88"/>
      <c r="F86" s="88"/>
      <c r="G86" s="88"/>
      <c r="O86" s="172"/>
    </row>
    <row r="87" spans="1:17" x14ac:dyDescent="0.3">
      <c r="A87" s="3"/>
      <c r="B87" s="25" t="s">
        <v>61</v>
      </c>
      <c r="C87" s="54" t="s">
        <v>256</v>
      </c>
      <c r="D87" s="135" t="s">
        <v>121</v>
      </c>
      <c r="E87" s="129">
        <v>24.86</v>
      </c>
      <c r="F87" s="90">
        <f>Q83/O87</f>
        <v>26.441157084391545</v>
      </c>
      <c r="G87" s="88">
        <v>37.35</v>
      </c>
      <c r="O87" s="1">
        <v>7757187</v>
      </c>
    </row>
    <row r="88" spans="1:17" x14ac:dyDescent="0.3">
      <c r="A88" s="3"/>
      <c r="B88" s="54"/>
      <c r="C88" s="54" t="s">
        <v>258</v>
      </c>
      <c r="D88" s="134"/>
      <c r="E88" s="88"/>
      <c r="F88" s="88"/>
      <c r="G88" s="88"/>
    </row>
    <row r="89" spans="1:17" x14ac:dyDescent="0.3">
      <c r="A89" s="3"/>
      <c r="B89" s="5"/>
      <c r="C89" s="5" t="s">
        <v>121</v>
      </c>
      <c r="D89" s="118"/>
      <c r="E89" s="122"/>
      <c r="F89" s="88"/>
      <c r="G89" s="88"/>
    </row>
    <row r="90" spans="1:17" x14ac:dyDescent="0.3">
      <c r="A90" s="3"/>
      <c r="B90" s="102"/>
      <c r="C90" s="103"/>
      <c r="D90" s="103"/>
      <c r="E90" s="103"/>
      <c r="F90" s="103"/>
      <c r="G90" s="104"/>
    </row>
    <row r="91" spans="1:17" x14ac:dyDescent="0.3">
      <c r="A91" s="3"/>
      <c r="B91" s="301" t="s">
        <v>257</v>
      </c>
      <c r="C91" s="302"/>
      <c r="D91" s="302"/>
      <c r="E91" s="302"/>
      <c r="F91" s="302"/>
      <c r="G91" s="303"/>
    </row>
    <row r="92" spans="1:17" s="2" customFormat="1" x14ac:dyDescent="0.3">
      <c r="B92" s="253" t="s">
        <v>82</v>
      </c>
      <c r="C92" s="270"/>
      <c r="D92" s="270"/>
      <c r="E92" s="270"/>
      <c r="F92" s="270"/>
      <c r="G92" s="254"/>
    </row>
    <row r="93" spans="1:17" x14ac:dyDescent="0.3">
      <c r="A93" s="3"/>
      <c r="B93" s="253" t="s">
        <v>249</v>
      </c>
      <c r="C93" s="270"/>
      <c r="D93" s="270"/>
      <c r="E93" s="270"/>
      <c r="F93" s="270"/>
      <c r="G93" s="254"/>
    </row>
    <row r="94" spans="1:17" ht="33.75" customHeight="1" x14ac:dyDescent="0.3">
      <c r="A94" s="3"/>
      <c r="B94" s="300" t="s">
        <v>260</v>
      </c>
      <c r="C94" s="300"/>
      <c r="D94" s="300"/>
      <c r="E94" s="300"/>
      <c r="F94" s="300"/>
      <c r="G94" s="300"/>
    </row>
    <row r="95" spans="1:17" ht="48.75" customHeight="1" x14ac:dyDescent="0.3">
      <c r="B95" s="403" t="s">
        <v>761</v>
      </c>
      <c r="C95" s="403"/>
      <c r="D95" s="403"/>
      <c r="E95" s="403"/>
      <c r="F95" s="403"/>
      <c r="G95" s="403"/>
    </row>
    <row r="96" spans="1:17" x14ac:dyDescent="0.3">
      <c r="A96" s="3">
        <v>14</v>
      </c>
      <c r="B96" s="54" t="s">
        <v>63</v>
      </c>
      <c r="C96" s="307" t="s">
        <v>50</v>
      </c>
      <c r="D96" s="308"/>
      <c r="E96" s="308"/>
      <c r="F96" s="308"/>
      <c r="G96" s="249"/>
    </row>
    <row r="97" spans="2:8" x14ac:dyDescent="0.3">
      <c r="C97" s="55"/>
      <c r="D97" s="55"/>
      <c r="E97" s="55"/>
      <c r="F97" s="55"/>
      <c r="G97" s="55"/>
    </row>
    <row r="98" spans="2:8" x14ac:dyDescent="0.3">
      <c r="B98" s="299" t="s">
        <v>250</v>
      </c>
      <c r="C98" s="299"/>
      <c r="D98" s="299"/>
      <c r="E98" s="299"/>
      <c r="F98" s="299"/>
      <c r="G98" s="299"/>
      <c r="H98" s="299"/>
    </row>
    <row r="103" spans="2:8" x14ac:dyDescent="0.3">
      <c r="D103" s="56"/>
      <c r="E103" s="56"/>
    </row>
    <row r="104" spans="2:8" x14ac:dyDescent="0.3">
      <c r="E104" s="56"/>
    </row>
  </sheetData>
  <mergeCells count="56">
    <mergeCell ref="B72:F72"/>
    <mergeCell ref="B73:F73"/>
    <mergeCell ref="B75:G75"/>
    <mergeCell ref="B92:G92"/>
    <mergeCell ref="B91:G91"/>
    <mergeCell ref="C96:G96"/>
    <mergeCell ref="B98:H98"/>
    <mergeCell ref="B93:G93"/>
    <mergeCell ref="B94:G94"/>
    <mergeCell ref="B95:G95"/>
    <mergeCell ref="L66:N66"/>
    <mergeCell ref="B70:N70"/>
    <mergeCell ref="B71:F71"/>
    <mergeCell ref="B66:B67"/>
    <mergeCell ref="C66:C67"/>
    <mergeCell ref="D66:D67"/>
    <mergeCell ref="E66:E67"/>
    <mergeCell ref="F66:H66"/>
    <mergeCell ref="I66:K66"/>
    <mergeCell ref="C62:E62"/>
    <mergeCell ref="C44:E44"/>
    <mergeCell ref="B45:E45"/>
    <mergeCell ref="B47:E47"/>
    <mergeCell ref="B50:E50"/>
    <mergeCell ref="B53:E53"/>
    <mergeCell ref="B54:B55"/>
    <mergeCell ref="C54:E55"/>
    <mergeCell ref="C56:E56"/>
    <mergeCell ref="C57:E57"/>
    <mergeCell ref="B58:E58"/>
    <mergeCell ref="C60:E60"/>
    <mergeCell ref="C61:E61"/>
    <mergeCell ref="C43:E43"/>
    <mergeCell ref="C22:E22"/>
    <mergeCell ref="C23:E23"/>
    <mergeCell ref="C24:E24"/>
    <mergeCell ref="B26:E26"/>
    <mergeCell ref="B27:E27"/>
    <mergeCell ref="B33:E33"/>
    <mergeCell ref="B35:E35"/>
    <mergeCell ref="B39:D39"/>
    <mergeCell ref="B41:E41"/>
    <mergeCell ref="C42:E42"/>
    <mergeCell ref="B25:E25"/>
    <mergeCell ref="C21:E21"/>
    <mergeCell ref="A1:B1"/>
    <mergeCell ref="C5:E5"/>
    <mergeCell ref="B6:D6"/>
    <mergeCell ref="B9:D9"/>
    <mergeCell ref="C11:E11"/>
    <mergeCell ref="B12:D12"/>
    <mergeCell ref="C14:E14"/>
    <mergeCell ref="B15:D15"/>
    <mergeCell ref="B17:C17"/>
    <mergeCell ref="B19:E19"/>
    <mergeCell ref="C20:E20"/>
  </mergeCells>
  <pageMargins left="0.70866141732283472" right="0.70866141732283472" top="0.74803149606299213" bottom="0.74803149606299213" header="0.31496062992125984" footer="0.31496062992125984"/>
  <pageSetup paperSize="9" scale="29" fitToWidth="70" fitToHeight="2" orientation="landscape" horizontalDpi="4294967292" verticalDpi="1200" r:id="rId1"/>
  <rowBreaks count="1" manualBreakCount="1">
    <brk id="51" max="1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37CB1-BAC8-4BAE-B30B-3D0493859015}">
  <sheetPr>
    <pageSetUpPr fitToPage="1"/>
  </sheetPr>
  <dimension ref="A1:N120"/>
  <sheetViews>
    <sheetView topLeftCell="A87" zoomScale="58" zoomScaleNormal="51" workbookViewId="0">
      <selection activeCell="I91" sqref="I91"/>
    </sheetView>
  </sheetViews>
  <sheetFormatPr defaultColWidth="8.6640625" defaultRowHeight="21" x14ac:dyDescent="0.3"/>
  <cols>
    <col min="1" max="1" width="8.6640625" style="1"/>
    <col min="2" max="2" width="58.33203125" style="1" customWidth="1"/>
    <col min="3" max="3" width="81" style="1" customWidth="1"/>
    <col min="4" max="4" width="73.109375" style="1" customWidth="1"/>
    <col min="5" max="5" width="27.6640625" style="1" customWidth="1"/>
    <col min="6" max="6" width="17.21875" style="1" customWidth="1"/>
    <col min="7" max="7" width="20.44140625" style="1" customWidth="1"/>
    <col min="8" max="8" width="22.6640625" style="1" customWidth="1"/>
    <col min="9" max="9" width="18" style="1" customWidth="1"/>
    <col min="10" max="10" width="17.77734375" style="1" customWidth="1"/>
    <col min="11" max="11" width="20.44140625" style="1" customWidth="1"/>
    <col min="12" max="12" width="16.109375" style="1" customWidth="1"/>
    <col min="13" max="14" width="12.88671875" style="1" bestFit="1" customWidth="1"/>
    <col min="15" max="16384" width="8.6640625" style="1"/>
  </cols>
  <sheetData>
    <row r="1" spans="1:5" ht="20.25" customHeight="1" x14ac:dyDescent="0.3">
      <c r="A1" s="246" t="s">
        <v>0</v>
      </c>
      <c r="B1" s="246"/>
      <c r="D1" s="2"/>
    </row>
    <row r="3" spans="1:5" ht="40.799999999999997" x14ac:dyDescent="0.3">
      <c r="A3" s="3" t="s">
        <v>1</v>
      </c>
      <c r="B3" s="54" t="s">
        <v>2</v>
      </c>
      <c r="C3" s="5" t="s">
        <v>887</v>
      </c>
    </row>
    <row r="4" spans="1:5" x14ac:dyDescent="0.3">
      <c r="D4" s="22"/>
    </row>
    <row r="5" spans="1:5" x14ac:dyDescent="0.3">
      <c r="A5" s="62">
        <v>1</v>
      </c>
      <c r="B5" s="63" t="s">
        <v>3</v>
      </c>
      <c r="C5" s="247" t="s">
        <v>797</v>
      </c>
      <c r="D5" s="248"/>
      <c r="E5" s="249"/>
    </row>
    <row r="6" spans="1:5" x14ac:dyDescent="0.3">
      <c r="A6" s="3"/>
      <c r="B6" s="250" t="s">
        <v>4</v>
      </c>
      <c r="C6" s="251"/>
      <c r="D6" s="252"/>
      <c r="E6" s="10"/>
    </row>
    <row r="7" spans="1:5" x14ac:dyDescent="0.3">
      <c r="A7" s="3"/>
      <c r="B7" s="2"/>
      <c r="D7" s="22"/>
    </row>
    <row r="8" spans="1:5" x14ac:dyDescent="0.3">
      <c r="A8" s="3">
        <v>2</v>
      </c>
      <c r="B8" s="63" t="s">
        <v>5</v>
      </c>
      <c r="C8" s="12" t="s">
        <v>263</v>
      </c>
      <c r="D8" s="22"/>
    </row>
    <row r="9" spans="1:5" x14ac:dyDescent="0.3">
      <c r="A9" s="3"/>
      <c r="B9" s="250" t="s">
        <v>4</v>
      </c>
      <c r="C9" s="251"/>
      <c r="D9" s="252"/>
    </row>
    <row r="10" spans="1:5" x14ac:dyDescent="0.3">
      <c r="A10" s="3"/>
      <c r="B10" s="2"/>
      <c r="D10" s="22"/>
    </row>
    <row r="11" spans="1:5" ht="40.950000000000003" customHeight="1" x14ac:dyDescent="0.3">
      <c r="A11" s="3">
        <v>3</v>
      </c>
      <c r="B11" s="63" t="s">
        <v>6</v>
      </c>
      <c r="C11" s="247" t="s">
        <v>90</v>
      </c>
      <c r="D11" s="248"/>
      <c r="E11" s="249"/>
    </row>
    <row r="12" spans="1:5" x14ac:dyDescent="0.3">
      <c r="A12" s="3"/>
      <c r="B12" s="250" t="s">
        <v>4</v>
      </c>
      <c r="C12" s="251"/>
      <c r="D12" s="252"/>
      <c r="E12" s="10"/>
    </row>
    <row r="13" spans="1:5" x14ac:dyDescent="0.3">
      <c r="A13" s="3"/>
      <c r="B13" s="2"/>
      <c r="D13" s="22"/>
    </row>
    <row r="14" spans="1:5" x14ac:dyDescent="0.3">
      <c r="A14" s="3">
        <v>4</v>
      </c>
      <c r="B14" s="54" t="s">
        <v>92</v>
      </c>
      <c r="C14" s="247" t="s">
        <v>90</v>
      </c>
      <c r="D14" s="248"/>
      <c r="E14" s="249"/>
    </row>
    <row r="15" spans="1:5" x14ac:dyDescent="0.3">
      <c r="A15" s="3"/>
      <c r="B15" s="250" t="s">
        <v>4</v>
      </c>
      <c r="C15" s="251"/>
      <c r="D15" s="252"/>
    </row>
    <row r="16" spans="1:5" x14ac:dyDescent="0.3">
      <c r="A16" s="3">
        <v>4</v>
      </c>
      <c r="B16" s="54" t="s">
        <v>7</v>
      </c>
      <c r="C16" s="5" t="s">
        <v>264</v>
      </c>
      <c r="D16" s="22"/>
    </row>
    <row r="17" spans="1:14" x14ac:dyDescent="0.3">
      <c r="A17" s="3"/>
      <c r="B17" s="253" t="s">
        <v>8</v>
      </c>
      <c r="C17" s="254"/>
      <c r="D17" s="22"/>
    </row>
    <row r="18" spans="1:14" x14ac:dyDescent="0.3">
      <c r="A18" s="3"/>
      <c r="D18" s="22"/>
    </row>
    <row r="19" spans="1:14" x14ac:dyDescent="0.3">
      <c r="A19" s="3">
        <v>5</v>
      </c>
      <c r="B19" s="255" t="s">
        <v>9</v>
      </c>
      <c r="C19" s="256"/>
      <c r="D19" s="256"/>
      <c r="E19" s="257"/>
      <c r="F19" s="2"/>
      <c r="G19" s="2"/>
      <c r="H19" s="2"/>
      <c r="I19" s="2"/>
      <c r="J19" s="10"/>
      <c r="K19" s="10"/>
      <c r="L19" s="10"/>
      <c r="M19" s="10"/>
      <c r="N19" s="10"/>
    </row>
    <row r="20" spans="1:14" x14ac:dyDescent="0.3">
      <c r="A20" s="3"/>
      <c r="B20" s="65" t="s">
        <v>10</v>
      </c>
      <c r="C20" s="243" t="s">
        <v>11</v>
      </c>
      <c r="D20" s="244"/>
      <c r="E20" s="245"/>
      <c r="F20" s="66"/>
      <c r="G20" s="10"/>
      <c r="H20" s="10"/>
      <c r="I20" s="10"/>
      <c r="J20" s="10"/>
      <c r="K20" s="10"/>
      <c r="L20" s="10"/>
      <c r="M20" s="10"/>
      <c r="N20" s="10"/>
    </row>
    <row r="21" spans="1:14" ht="61.2" x14ac:dyDescent="0.3">
      <c r="A21" s="3"/>
      <c r="B21" s="65" t="s">
        <v>242</v>
      </c>
      <c r="C21" s="243" t="s">
        <v>11</v>
      </c>
      <c r="D21" s="244"/>
      <c r="E21" s="245"/>
      <c r="F21" s="66"/>
      <c r="G21" s="10"/>
      <c r="I21" s="10"/>
      <c r="J21" s="10"/>
      <c r="K21" s="10"/>
      <c r="L21" s="10"/>
      <c r="M21" s="10"/>
      <c r="N21" s="10"/>
    </row>
    <row r="22" spans="1:14" x14ac:dyDescent="0.3">
      <c r="A22" s="3"/>
      <c r="B22" s="65" t="s">
        <v>243</v>
      </c>
      <c r="C22" s="243" t="s">
        <v>11</v>
      </c>
      <c r="D22" s="244"/>
      <c r="E22" s="245"/>
      <c r="F22" s="66"/>
      <c r="G22" s="10"/>
      <c r="H22" s="10"/>
      <c r="I22" s="10"/>
      <c r="J22" s="10"/>
      <c r="K22" s="10"/>
      <c r="L22" s="10"/>
      <c r="M22" s="10"/>
      <c r="N22" s="10"/>
    </row>
    <row r="23" spans="1:14" x14ac:dyDescent="0.3">
      <c r="A23" s="3"/>
      <c r="B23" s="64" t="s">
        <v>252</v>
      </c>
      <c r="C23" s="243" t="s">
        <v>11</v>
      </c>
      <c r="D23" s="244"/>
      <c r="E23" s="245"/>
      <c r="F23" s="66"/>
      <c r="G23" s="10"/>
      <c r="H23" s="10"/>
      <c r="I23" s="10"/>
      <c r="J23" s="10"/>
      <c r="K23" s="10"/>
      <c r="L23" s="10"/>
      <c r="M23" s="10"/>
      <c r="N23" s="10"/>
    </row>
    <row r="24" spans="1:14" x14ac:dyDescent="0.3">
      <c r="A24" s="3"/>
      <c r="B24" s="67" t="s">
        <v>253</v>
      </c>
      <c r="C24" s="243" t="s">
        <v>11</v>
      </c>
      <c r="D24" s="244"/>
      <c r="E24" s="245"/>
      <c r="F24" s="66"/>
      <c r="G24" s="10"/>
      <c r="H24" s="10"/>
      <c r="I24" s="10"/>
      <c r="J24" s="10"/>
      <c r="K24" s="10"/>
      <c r="L24" s="10"/>
      <c r="M24" s="10"/>
      <c r="N24" s="10"/>
    </row>
    <row r="25" spans="1:14" x14ac:dyDescent="0.3">
      <c r="A25" s="3"/>
      <c r="B25" s="66" t="s">
        <v>64</v>
      </c>
      <c r="C25" s="66"/>
      <c r="D25" s="66"/>
      <c r="E25" s="66"/>
      <c r="F25" s="66"/>
      <c r="G25" s="10"/>
      <c r="H25" s="10"/>
      <c r="I25" s="10"/>
      <c r="J25" s="10"/>
      <c r="K25" s="10"/>
      <c r="L25" s="10"/>
      <c r="M25" s="10"/>
      <c r="N25" s="10"/>
    </row>
    <row r="26" spans="1:14" x14ac:dyDescent="0.3">
      <c r="A26" s="3">
        <v>6</v>
      </c>
      <c r="B26" s="261" t="s">
        <v>74</v>
      </c>
      <c r="C26" s="262"/>
      <c r="D26" s="262"/>
      <c r="E26" s="263"/>
      <c r="F26" s="2"/>
      <c r="G26" s="2"/>
      <c r="H26" s="10"/>
      <c r="I26" s="2"/>
      <c r="J26" s="2"/>
    </row>
    <row r="27" spans="1:14" x14ac:dyDescent="0.3">
      <c r="A27" s="3"/>
      <c r="B27" s="264" t="s">
        <v>17</v>
      </c>
      <c r="C27" s="265"/>
      <c r="D27" s="265"/>
      <c r="E27" s="266"/>
      <c r="F27" s="66"/>
    </row>
    <row r="28" spans="1:14" x14ac:dyDescent="0.3">
      <c r="A28" s="3"/>
      <c r="B28" s="67" t="s">
        <v>449</v>
      </c>
      <c r="C28" s="25" t="s">
        <v>244</v>
      </c>
      <c r="D28" s="25" t="s">
        <v>245</v>
      </c>
      <c r="E28" s="25" t="s">
        <v>246</v>
      </c>
      <c r="F28" s="66"/>
    </row>
    <row r="29" spans="1:14" ht="20.7" customHeight="1" x14ac:dyDescent="0.3">
      <c r="A29" s="3"/>
      <c r="B29" s="68" t="s">
        <v>21</v>
      </c>
      <c r="C29" s="27">
        <v>6924.32</v>
      </c>
      <c r="D29" s="127">
        <v>7653.31</v>
      </c>
      <c r="E29" s="127">
        <v>9681.93</v>
      </c>
      <c r="F29" s="66"/>
    </row>
    <row r="30" spans="1:14" x14ac:dyDescent="0.3">
      <c r="A30" s="3"/>
      <c r="B30" s="68" t="s">
        <v>23</v>
      </c>
      <c r="C30" s="27">
        <v>124.76</v>
      </c>
      <c r="D30" s="27">
        <v>162.08000000000001</v>
      </c>
      <c r="E30" s="27">
        <v>93.83</v>
      </c>
      <c r="F30" s="66"/>
    </row>
    <row r="31" spans="1:14" x14ac:dyDescent="0.3">
      <c r="A31" s="3"/>
      <c r="B31" s="68" t="s">
        <v>24</v>
      </c>
      <c r="C31" s="27">
        <v>1930.39</v>
      </c>
      <c r="D31" s="127">
        <v>1930.39</v>
      </c>
      <c r="E31" s="127">
        <v>1930.39</v>
      </c>
      <c r="F31" s="66"/>
      <c r="H31" s="194"/>
    </row>
    <row r="32" spans="1:14" x14ac:dyDescent="0.3">
      <c r="A32" s="3"/>
      <c r="B32" s="68" t="s">
        <v>25</v>
      </c>
      <c r="C32" s="27">
        <v>1977.26</v>
      </c>
      <c r="D32" s="127">
        <v>2137.7199999999998</v>
      </c>
      <c r="E32" s="27" t="s">
        <v>940</v>
      </c>
      <c r="F32" s="66"/>
    </row>
    <row r="33" spans="1:10" x14ac:dyDescent="0.3">
      <c r="A33" s="3"/>
      <c r="B33" s="253" t="s">
        <v>191</v>
      </c>
      <c r="C33" s="270"/>
      <c r="D33" s="270"/>
      <c r="E33" s="254"/>
      <c r="F33" s="66"/>
    </row>
    <row r="34" spans="1:10" x14ac:dyDescent="0.3">
      <c r="A34" s="3"/>
      <c r="B34" s="10"/>
      <c r="C34" s="66"/>
      <c r="D34" s="66"/>
      <c r="E34" s="66"/>
      <c r="F34" s="66"/>
    </row>
    <row r="35" spans="1:10" ht="41.7" customHeight="1" x14ac:dyDescent="0.3">
      <c r="A35" s="3">
        <v>7</v>
      </c>
      <c r="B35" s="261" t="s">
        <v>26</v>
      </c>
      <c r="C35" s="262"/>
      <c r="D35" s="256"/>
      <c r="E35" s="257"/>
      <c r="F35" s="2"/>
      <c r="G35" s="2"/>
      <c r="H35" s="2"/>
      <c r="I35" s="2"/>
      <c r="J35" s="2"/>
    </row>
    <row r="36" spans="1:10" x14ac:dyDescent="0.3">
      <c r="A36" s="3"/>
      <c r="B36" s="67" t="s">
        <v>247</v>
      </c>
      <c r="C36" s="27" t="s">
        <v>86</v>
      </c>
      <c r="F36" s="10"/>
    </row>
    <row r="37" spans="1:10" x14ac:dyDescent="0.3">
      <c r="A37" s="3"/>
      <c r="B37" s="67" t="s">
        <v>28</v>
      </c>
      <c r="C37" s="27" t="s">
        <v>86</v>
      </c>
      <c r="D37" s="10"/>
      <c r="E37" s="10"/>
      <c r="F37" s="10"/>
    </row>
    <row r="38" spans="1:10" x14ac:dyDescent="0.3">
      <c r="A38" s="3"/>
      <c r="B38" s="69" t="s">
        <v>29</v>
      </c>
      <c r="C38" s="27" t="s">
        <v>86</v>
      </c>
      <c r="D38" s="10"/>
      <c r="E38" s="10"/>
      <c r="F38" s="10"/>
    </row>
    <row r="39" spans="1:10" ht="42" customHeight="1" x14ac:dyDescent="0.3">
      <c r="A39" s="3"/>
      <c r="B39" s="271" t="s">
        <v>273</v>
      </c>
      <c r="C39" s="271"/>
      <c r="D39" s="271"/>
      <c r="E39" s="10"/>
      <c r="F39" s="10"/>
    </row>
    <row r="40" spans="1:10" x14ac:dyDescent="0.3">
      <c r="A40" s="3"/>
      <c r="B40" s="66"/>
      <c r="C40" s="10"/>
      <c r="D40" s="10"/>
      <c r="E40" s="10"/>
      <c r="F40" s="10"/>
    </row>
    <row r="41" spans="1:10" x14ac:dyDescent="0.3">
      <c r="A41" s="3">
        <v>8</v>
      </c>
      <c r="B41" s="261" t="s">
        <v>30</v>
      </c>
      <c r="C41" s="262"/>
      <c r="D41" s="262"/>
      <c r="E41" s="263"/>
      <c r="F41" s="2"/>
      <c r="G41" s="2"/>
      <c r="H41" s="2"/>
      <c r="I41" s="2"/>
      <c r="J41" s="2"/>
    </row>
    <row r="42" spans="1:10" ht="41.4" customHeight="1" x14ac:dyDescent="0.3">
      <c r="A42" s="3"/>
      <c r="B42" s="67" t="s">
        <v>31</v>
      </c>
      <c r="C42" s="258" t="s">
        <v>456</v>
      </c>
      <c r="D42" s="259"/>
      <c r="E42" s="260"/>
      <c r="F42" s="10"/>
    </row>
    <row r="43" spans="1:10" ht="68.400000000000006" customHeight="1" x14ac:dyDescent="0.3">
      <c r="A43" s="3"/>
      <c r="B43" s="67" t="s">
        <v>28</v>
      </c>
      <c r="C43" s="258" t="s">
        <v>706</v>
      </c>
      <c r="D43" s="259"/>
      <c r="E43" s="260"/>
      <c r="F43" s="10"/>
    </row>
    <row r="44" spans="1:10" x14ac:dyDescent="0.3">
      <c r="A44" s="3"/>
      <c r="B44" s="67" t="s">
        <v>29</v>
      </c>
      <c r="C44" s="258" t="s">
        <v>903</v>
      </c>
      <c r="D44" s="259"/>
      <c r="E44" s="260"/>
      <c r="F44" s="10"/>
    </row>
    <row r="45" spans="1:10" x14ac:dyDescent="0.3">
      <c r="A45" s="3"/>
      <c r="B45" s="253" t="s">
        <v>794</v>
      </c>
      <c r="C45" s="270"/>
      <c r="D45" s="270"/>
      <c r="E45" s="254"/>
      <c r="F45" s="10"/>
    </row>
    <row r="46" spans="1:10" x14ac:dyDescent="0.3">
      <c r="A46" s="3"/>
      <c r="D46" s="22"/>
      <c r="E46" s="10"/>
    </row>
    <row r="47" spans="1:10" ht="83.4" customHeight="1" x14ac:dyDescent="0.3">
      <c r="A47" s="191">
        <v>9</v>
      </c>
      <c r="B47" s="262" t="s">
        <v>32</v>
      </c>
      <c r="C47" s="262"/>
      <c r="D47" s="262"/>
      <c r="E47" s="263"/>
      <c r="F47" s="2"/>
      <c r="G47" s="2"/>
      <c r="H47" s="2"/>
      <c r="I47" s="2"/>
    </row>
    <row r="48" spans="1:10" ht="81.599999999999994" x14ac:dyDescent="0.3">
      <c r="A48" s="191"/>
      <c r="B48" s="24" t="s">
        <v>33</v>
      </c>
      <c r="C48" s="25" t="s">
        <v>34</v>
      </c>
      <c r="D48" s="25" t="s">
        <v>524</v>
      </c>
      <c r="E48" s="25" t="s">
        <v>35</v>
      </c>
    </row>
    <row r="49" spans="1:14" ht="166.2" customHeight="1" x14ac:dyDescent="0.3">
      <c r="A49" s="191"/>
      <c r="B49" s="189" t="s">
        <v>261</v>
      </c>
      <c r="C49" s="27" t="s">
        <v>742</v>
      </c>
      <c r="D49" s="27" t="s">
        <v>743</v>
      </c>
      <c r="E49" s="27" t="s">
        <v>50</v>
      </c>
    </row>
    <row r="50" spans="1:14" x14ac:dyDescent="0.3">
      <c r="A50" s="191"/>
      <c r="B50" s="270"/>
      <c r="C50" s="410"/>
      <c r="D50" s="410"/>
      <c r="E50" s="411"/>
    </row>
    <row r="51" spans="1:14" x14ac:dyDescent="0.3">
      <c r="A51" s="191"/>
      <c r="B51" s="28"/>
      <c r="C51" s="22"/>
      <c r="D51" s="22"/>
      <c r="E51" s="22"/>
      <c r="F51" s="66"/>
      <c r="G51" s="66"/>
      <c r="H51" s="66"/>
      <c r="I51" s="66"/>
    </row>
    <row r="52" spans="1:14" ht="43.2" customHeight="1" x14ac:dyDescent="0.3">
      <c r="A52" s="191">
        <v>10</v>
      </c>
      <c r="B52" s="262" t="s">
        <v>32</v>
      </c>
      <c r="C52" s="262"/>
      <c r="D52" s="262"/>
      <c r="E52" s="263"/>
      <c r="F52" s="66"/>
      <c r="G52" s="66"/>
      <c r="H52" s="66"/>
    </row>
    <row r="53" spans="1:14" x14ac:dyDescent="0.3">
      <c r="A53" s="191"/>
      <c r="B53" s="275" t="s">
        <v>36</v>
      </c>
      <c r="C53" s="277" t="s">
        <v>266</v>
      </c>
      <c r="D53" s="278"/>
      <c r="E53" s="279"/>
      <c r="K53" s="2"/>
    </row>
    <row r="54" spans="1:14" ht="100.2" customHeight="1" x14ac:dyDescent="0.3">
      <c r="A54" s="191"/>
      <c r="B54" s="276"/>
      <c r="C54" s="280"/>
      <c r="D54" s="281"/>
      <c r="E54" s="282"/>
      <c r="K54" s="2"/>
    </row>
    <row r="55" spans="1:14" ht="123.6" customHeight="1" x14ac:dyDescent="0.3">
      <c r="A55" s="191"/>
      <c r="B55" s="29" t="s">
        <v>37</v>
      </c>
      <c r="C55" s="283" t="s">
        <v>744</v>
      </c>
      <c r="D55" s="284"/>
      <c r="E55" s="285"/>
    </row>
    <row r="56" spans="1:14" x14ac:dyDescent="0.3">
      <c r="A56" s="191"/>
      <c r="B56" s="29" t="s">
        <v>38</v>
      </c>
      <c r="C56" s="286" t="s">
        <v>232</v>
      </c>
      <c r="D56" s="287"/>
      <c r="E56" s="288"/>
      <c r="K56" s="30"/>
    </row>
    <row r="57" spans="1:14" s="32" customFormat="1" ht="63.6" customHeight="1" x14ac:dyDescent="0.4">
      <c r="A57" s="111" t="s">
        <v>39</v>
      </c>
      <c r="B57" s="441" t="s">
        <v>939</v>
      </c>
      <c r="C57" s="441"/>
      <c r="D57" s="441"/>
      <c r="E57" s="354"/>
    </row>
    <row r="58" spans="1:14" x14ac:dyDescent="0.3">
      <c r="A58" s="71"/>
      <c r="B58" s="72"/>
      <c r="C58" s="73"/>
      <c r="D58" s="73"/>
      <c r="E58" s="73"/>
      <c r="F58" s="73"/>
    </row>
    <row r="59" spans="1:14" x14ac:dyDescent="0.3">
      <c r="A59" s="3">
        <v>11</v>
      </c>
      <c r="B59" s="54" t="s">
        <v>41</v>
      </c>
      <c r="C59" s="270" t="s">
        <v>121</v>
      </c>
      <c r="D59" s="270"/>
      <c r="E59" s="270"/>
      <c r="F59" s="2"/>
      <c r="G59" s="2"/>
      <c r="H59" s="74"/>
      <c r="I59" s="2"/>
      <c r="J59" s="2"/>
    </row>
    <row r="60" spans="1:14" ht="20.7" customHeight="1" x14ac:dyDescent="0.3">
      <c r="A60" s="3"/>
      <c r="B60" s="66"/>
      <c r="C60" s="270"/>
      <c r="D60" s="270"/>
      <c r="E60" s="270"/>
      <c r="F60" s="66"/>
      <c r="G60" s="66"/>
      <c r="H60" s="75"/>
      <c r="I60" s="75"/>
      <c r="J60" s="66"/>
    </row>
    <row r="61" spans="1:14" s="42" customFormat="1" x14ac:dyDescent="0.3">
      <c r="A61" s="76">
        <v>12</v>
      </c>
      <c r="B61" s="77" t="s">
        <v>42</v>
      </c>
      <c r="C61" s="272"/>
      <c r="D61" s="273"/>
      <c r="E61" s="274"/>
      <c r="F61" s="78"/>
      <c r="G61" s="79"/>
      <c r="H61" s="79"/>
      <c r="I61" s="79"/>
      <c r="J61" s="79"/>
      <c r="K61" s="79"/>
      <c r="L61" s="79"/>
      <c r="M61" s="79"/>
      <c r="N61" s="79"/>
    </row>
    <row r="62" spans="1:14" x14ac:dyDescent="0.3">
      <c r="A62" s="3"/>
      <c r="B62" s="2"/>
      <c r="C62" s="2"/>
      <c r="D62" s="2"/>
      <c r="E62" s="74"/>
      <c r="F62" s="74"/>
      <c r="G62" s="74"/>
      <c r="H62" s="2"/>
      <c r="I62" s="2"/>
      <c r="J62" s="2"/>
      <c r="K62" s="2"/>
      <c r="L62" s="2"/>
      <c r="M62" s="2"/>
      <c r="N62" s="2"/>
    </row>
    <row r="63" spans="1:14" x14ac:dyDescent="0.3">
      <c r="A63" s="3"/>
      <c r="B63" s="67" t="s">
        <v>43</v>
      </c>
      <c r="C63" s="68" t="s">
        <v>265</v>
      </c>
      <c r="D63" s="66"/>
      <c r="E63" s="66"/>
      <c r="F63" s="75"/>
      <c r="G63" s="75"/>
      <c r="H63" s="66"/>
      <c r="I63" s="66"/>
      <c r="J63" s="66"/>
      <c r="K63" s="66"/>
      <c r="L63" s="66"/>
      <c r="M63" s="66"/>
      <c r="N63" s="66"/>
    </row>
    <row r="64" spans="1:14" x14ac:dyDescent="0.3">
      <c r="A64" s="3"/>
      <c r="B64" s="66"/>
      <c r="C64" s="66"/>
      <c r="D64" s="66"/>
      <c r="E64" s="66"/>
      <c r="F64" s="66"/>
      <c r="G64" s="66"/>
      <c r="H64" s="66"/>
      <c r="I64" s="66"/>
      <c r="J64" s="66"/>
      <c r="K64" s="66"/>
      <c r="L64" s="66"/>
      <c r="M64" s="66"/>
      <c r="N64" s="66"/>
    </row>
    <row r="65" spans="1:14" ht="87.6" customHeight="1" x14ac:dyDescent="0.3">
      <c r="A65" s="3"/>
      <c r="B65" s="295" t="s">
        <v>44</v>
      </c>
      <c r="C65" s="295" t="s">
        <v>267</v>
      </c>
      <c r="D65" s="295" t="s">
        <v>68</v>
      </c>
      <c r="E65" s="297" t="s">
        <v>45</v>
      </c>
      <c r="F65" s="292" t="s">
        <v>254</v>
      </c>
      <c r="G65" s="293"/>
      <c r="H65" s="294"/>
      <c r="I65" s="292" t="s">
        <v>255</v>
      </c>
      <c r="J65" s="293"/>
      <c r="K65" s="294"/>
      <c r="L65" s="292" t="s">
        <v>197</v>
      </c>
      <c r="M65" s="293"/>
      <c r="N65" s="294"/>
    </row>
    <row r="66" spans="1:14" ht="61.2" x14ac:dyDescent="0.3">
      <c r="A66" s="3"/>
      <c r="B66" s="296"/>
      <c r="C66" s="296"/>
      <c r="D66" s="296"/>
      <c r="E66" s="298"/>
      <c r="F66" s="67" t="s">
        <v>46</v>
      </c>
      <c r="G66" s="67" t="s">
        <v>47</v>
      </c>
      <c r="H66" s="67" t="s">
        <v>48</v>
      </c>
      <c r="I66" s="67" t="s">
        <v>49</v>
      </c>
      <c r="J66" s="67" t="s">
        <v>47</v>
      </c>
      <c r="K66" s="67" t="s">
        <v>48</v>
      </c>
      <c r="L66" s="67" t="s">
        <v>49</v>
      </c>
      <c r="M66" s="67" t="s">
        <v>47</v>
      </c>
      <c r="N66" s="67" t="s">
        <v>48</v>
      </c>
    </row>
    <row r="67" spans="1:14" ht="105" customHeight="1" x14ac:dyDescent="0.3">
      <c r="A67" s="3"/>
      <c r="B67" s="67" t="s">
        <v>66</v>
      </c>
      <c r="C67" s="81">
        <v>33.6</v>
      </c>
      <c r="D67" s="82">
        <v>36.799999999999997</v>
      </c>
      <c r="E67" s="82">
        <v>28.45</v>
      </c>
      <c r="F67" s="121">
        <v>25.8</v>
      </c>
      <c r="G67" s="121">
        <v>43</v>
      </c>
      <c r="H67" s="121">
        <v>25.3</v>
      </c>
      <c r="I67" s="121">
        <v>12.85</v>
      </c>
      <c r="J67" s="121">
        <v>29.5</v>
      </c>
      <c r="K67" s="121">
        <v>12.85</v>
      </c>
      <c r="L67" s="121">
        <v>9.25</v>
      </c>
      <c r="M67" s="121">
        <v>15.4</v>
      </c>
      <c r="N67" s="121">
        <v>9.15</v>
      </c>
    </row>
    <row r="68" spans="1:14" ht="40.799999999999997" x14ac:dyDescent="0.3">
      <c r="A68" s="3"/>
      <c r="B68" s="69" t="s">
        <v>67</v>
      </c>
      <c r="C68" s="82">
        <v>19381.650000000001</v>
      </c>
      <c r="D68" s="82">
        <v>19435.3</v>
      </c>
      <c r="E68" s="82">
        <v>19079.599999999999</v>
      </c>
      <c r="F68" s="121">
        <v>22326.9</v>
      </c>
      <c r="G68" s="121">
        <v>22526.6</v>
      </c>
      <c r="H68" s="121">
        <v>17312.75</v>
      </c>
      <c r="I68" s="121">
        <v>23519.35</v>
      </c>
      <c r="J68" s="121">
        <v>26277.35</v>
      </c>
      <c r="K68" s="121">
        <v>21281.45</v>
      </c>
      <c r="L68" s="121">
        <v>22331.4</v>
      </c>
      <c r="M68" s="121">
        <v>26373.200000000001</v>
      </c>
      <c r="N68" s="121">
        <v>21743.65</v>
      </c>
    </row>
    <row r="69" spans="1:14" x14ac:dyDescent="0.3">
      <c r="A69" s="3"/>
      <c r="B69" s="253" t="s">
        <v>99</v>
      </c>
      <c r="C69" s="270"/>
      <c r="D69" s="270"/>
      <c r="E69" s="270"/>
      <c r="F69" s="270"/>
      <c r="G69" s="270"/>
      <c r="H69" s="270"/>
      <c r="I69" s="270"/>
      <c r="J69" s="270"/>
      <c r="K69" s="270"/>
      <c r="L69" s="270"/>
      <c r="M69" s="270"/>
      <c r="N69" s="254"/>
    </row>
    <row r="70" spans="1:14" x14ac:dyDescent="0.3">
      <c r="A70" s="3"/>
      <c r="B70" s="253" t="s">
        <v>796</v>
      </c>
      <c r="C70" s="270"/>
      <c r="D70" s="270"/>
      <c r="E70" s="270"/>
      <c r="F70" s="254"/>
      <c r="G70" s="83"/>
      <c r="H70" s="83"/>
      <c r="I70" s="83"/>
      <c r="J70" s="83"/>
      <c r="K70" s="83"/>
      <c r="L70" s="83"/>
      <c r="M70" s="83"/>
      <c r="N70" s="83"/>
    </row>
    <row r="71" spans="1:14" ht="30" customHeight="1" x14ac:dyDescent="0.3">
      <c r="A71" s="3"/>
      <c r="B71" s="253" t="s">
        <v>760</v>
      </c>
      <c r="C71" s="270"/>
      <c r="D71" s="270"/>
      <c r="E71" s="270"/>
      <c r="F71" s="254"/>
      <c r="G71" s="83"/>
      <c r="H71" s="83"/>
      <c r="I71" s="83"/>
      <c r="J71" s="83"/>
      <c r="K71" s="83"/>
      <c r="L71" s="83"/>
      <c r="M71" s="83"/>
      <c r="N71" s="83"/>
    </row>
    <row r="72" spans="1:14" x14ac:dyDescent="0.3">
      <c r="A72" s="3"/>
      <c r="B72" s="253" t="s">
        <v>71</v>
      </c>
      <c r="C72" s="270"/>
      <c r="D72" s="270"/>
      <c r="E72" s="270"/>
      <c r="F72" s="254"/>
      <c r="G72" s="83"/>
      <c r="H72" s="83"/>
      <c r="I72" s="83"/>
      <c r="J72" s="83"/>
      <c r="K72" s="83"/>
      <c r="L72" s="83"/>
      <c r="M72" s="83"/>
      <c r="N72" s="83"/>
    </row>
    <row r="73" spans="1:14" x14ac:dyDescent="0.3">
      <c r="A73" s="3"/>
      <c r="B73" s="84"/>
      <c r="C73" s="84"/>
      <c r="D73" s="84"/>
      <c r="E73" s="84"/>
      <c r="F73" s="84"/>
      <c r="G73" s="10"/>
      <c r="H73" s="10"/>
      <c r="I73" s="10"/>
      <c r="J73" s="10"/>
      <c r="K73" s="10"/>
      <c r="L73" s="10"/>
      <c r="M73" s="10"/>
      <c r="N73" s="10"/>
    </row>
    <row r="74" spans="1:14" ht="39" customHeight="1" x14ac:dyDescent="0.3">
      <c r="A74" s="3">
        <v>13</v>
      </c>
      <c r="B74" s="261" t="s">
        <v>51</v>
      </c>
      <c r="C74" s="262"/>
      <c r="D74" s="262"/>
      <c r="E74" s="262"/>
      <c r="F74" s="262"/>
      <c r="G74" s="263"/>
      <c r="H74" s="2"/>
      <c r="I74" s="2"/>
      <c r="J74" s="2"/>
      <c r="K74" s="2"/>
      <c r="L74" s="2"/>
      <c r="M74" s="2"/>
      <c r="N74" s="2"/>
    </row>
    <row r="75" spans="1:14" x14ac:dyDescent="0.3">
      <c r="A75" s="3"/>
      <c r="C75" s="66"/>
      <c r="D75" s="66"/>
      <c r="E75" s="66"/>
      <c r="F75" s="66"/>
      <c r="G75" s="66"/>
      <c r="H75" s="66"/>
      <c r="I75" s="66"/>
      <c r="J75" s="66"/>
      <c r="K75" s="66"/>
      <c r="L75" s="66"/>
      <c r="M75" s="66"/>
      <c r="N75" s="66"/>
    </row>
    <row r="76" spans="1:14" ht="40.799999999999997" x14ac:dyDescent="0.3">
      <c r="A76" s="3"/>
      <c r="B76" s="25" t="s">
        <v>52</v>
      </c>
      <c r="C76" s="25" t="s">
        <v>53</v>
      </c>
      <c r="D76" s="25" t="s">
        <v>259</v>
      </c>
      <c r="E76" s="25" t="s">
        <v>54</v>
      </c>
      <c r="F76" s="25" t="s">
        <v>55</v>
      </c>
      <c r="G76" s="25" t="s">
        <v>56</v>
      </c>
      <c r="H76" s="10"/>
      <c r="I76" s="10"/>
      <c r="J76" s="10"/>
      <c r="K76" s="10"/>
      <c r="L76" s="10"/>
      <c r="M76" s="10"/>
      <c r="N76" s="10"/>
    </row>
    <row r="77" spans="1:14" ht="21" customHeight="1" x14ac:dyDescent="0.3">
      <c r="A77" s="3"/>
      <c r="B77" s="80" t="s">
        <v>72</v>
      </c>
      <c r="C77" s="54" t="s">
        <v>450</v>
      </c>
      <c r="D77" s="134">
        <v>2.42</v>
      </c>
      <c r="E77" s="88">
        <v>0.71</v>
      </c>
      <c r="F77" s="88">
        <v>0.83</v>
      </c>
      <c r="G77" s="88">
        <v>0.49</v>
      </c>
    </row>
    <row r="78" spans="1:14" ht="21" customHeight="1" x14ac:dyDescent="0.3">
      <c r="A78" s="3"/>
      <c r="B78" s="80"/>
      <c r="C78" s="54" t="s">
        <v>237</v>
      </c>
      <c r="D78" s="134"/>
      <c r="E78" s="88"/>
      <c r="F78" s="88"/>
      <c r="G78" s="88"/>
    </row>
    <row r="79" spans="1:14" ht="21" customHeight="1" x14ac:dyDescent="0.3">
      <c r="A79" s="3"/>
      <c r="B79" s="80"/>
      <c r="C79" s="5" t="s">
        <v>269</v>
      </c>
      <c r="D79" s="134">
        <v>4.04</v>
      </c>
      <c r="E79" s="88">
        <v>1.32</v>
      </c>
      <c r="F79" s="88">
        <v>3.12</v>
      </c>
      <c r="G79" s="88">
        <v>6.28</v>
      </c>
    </row>
    <row r="80" spans="1:14" ht="45" customHeight="1" x14ac:dyDescent="0.3">
      <c r="A80" s="3"/>
      <c r="B80" s="80"/>
      <c r="C80" s="5" t="s">
        <v>811</v>
      </c>
      <c r="D80" s="134">
        <v>9.35</v>
      </c>
      <c r="E80" s="88">
        <v>-4.17</v>
      </c>
      <c r="F80" s="152">
        <v>-0.42</v>
      </c>
      <c r="G80" s="88">
        <v>1.1299999999999999</v>
      </c>
    </row>
    <row r="81" spans="1:7" ht="21" customHeight="1" x14ac:dyDescent="0.3">
      <c r="A81" s="3"/>
      <c r="B81" s="80"/>
      <c r="C81" s="5" t="s">
        <v>272</v>
      </c>
      <c r="D81" s="134">
        <v>20.67</v>
      </c>
      <c r="E81" s="88">
        <v>25.55</v>
      </c>
      <c r="F81" s="88">
        <v>44.61</v>
      </c>
      <c r="G81" s="88">
        <v>941.32</v>
      </c>
    </row>
    <row r="82" spans="1:7" ht="21" customHeight="1" x14ac:dyDescent="0.3">
      <c r="A82" s="3"/>
      <c r="B82" s="80"/>
      <c r="C82" s="5" t="s">
        <v>271</v>
      </c>
      <c r="D82" s="134">
        <v>1.19</v>
      </c>
      <c r="E82" s="88">
        <v>-2.4700000000000002</v>
      </c>
      <c r="F82" s="88">
        <v>-2.4300000000000002</v>
      </c>
      <c r="G82" s="88">
        <v>-0.18</v>
      </c>
    </row>
    <row r="83" spans="1:7" ht="21" customHeight="1" x14ac:dyDescent="0.3">
      <c r="A83" s="3"/>
      <c r="B83" s="80"/>
      <c r="C83" s="54" t="s">
        <v>165</v>
      </c>
      <c r="D83" s="150">
        <f>AVERAGE(D79:D82)</f>
        <v>8.8125</v>
      </c>
      <c r="E83" s="157">
        <f>AVERAGE(E79:E82)</f>
        <v>5.057500000000001</v>
      </c>
      <c r="F83" s="157">
        <f>AVERAGE(F79:F82)</f>
        <v>11.22</v>
      </c>
      <c r="G83" s="157">
        <f>AVERAGE(G79:G82)</f>
        <v>237.13750000000002</v>
      </c>
    </row>
    <row r="84" spans="1:7" x14ac:dyDescent="0.3">
      <c r="A84" s="3"/>
      <c r="B84" s="25" t="s">
        <v>59</v>
      </c>
      <c r="C84" s="54" t="s">
        <v>450</v>
      </c>
      <c r="D84" s="134">
        <v>16.510000000000002</v>
      </c>
      <c r="E84" s="90">
        <f>F67/E77</f>
        <v>36.338028169014088</v>
      </c>
      <c r="F84" s="90">
        <f>I67/F77</f>
        <v>15.481927710843374</v>
      </c>
      <c r="G84" s="90">
        <f>I67/G77</f>
        <v>26.224489795918366</v>
      </c>
    </row>
    <row r="85" spans="1:7" x14ac:dyDescent="0.3">
      <c r="A85" s="3"/>
      <c r="B85" s="25"/>
      <c r="C85" s="54" t="s">
        <v>237</v>
      </c>
      <c r="D85" s="134"/>
      <c r="E85" s="88"/>
      <c r="F85" s="88"/>
      <c r="G85" s="88"/>
    </row>
    <row r="86" spans="1:7" x14ac:dyDescent="0.3">
      <c r="A86" s="3"/>
      <c r="B86" s="25"/>
      <c r="C86" s="5" t="s">
        <v>269</v>
      </c>
      <c r="D86" s="134">
        <v>22.77</v>
      </c>
      <c r="E86" s="90">
        <f>122.55/E79</f>
        <v>92.840909090909079</v>
      </c>
      <c r="F86" s="90">
        <f>125.4/F79</f>
        <v>40.192307692307693</v>
      </c>
      <c r="G86" s="90">
        <f>212/G79</f>
        <v>33.757961783439491</v>
      </c>
    </row>
    <row r="87" spans="1:7" x14ac:dyDescent="0.3">
      <c r="A87" s="3"/>
      <c r="B87" s="25"/>
      <c r="C87" s="5" t="s">
        <v>270</v>
      </c>
      <c r="D87" s="134">
        <v>8.92</v>
      </c>
      <c r="E87" s="90">
        <f>79.3/E80</f>
        <v>-19.016786570743406</v>
      </c>
      <c r="F87" s="159">
        <f>61.33/F80</f>
        <v>-146.02380952380952</v>
      </c>
      <c r="G87" s="90">
        <f>36.74/G80</f>
        <v>32.513274336283189</v>
      </c>
    </row>
    <row r="88" spans="1:7" x14ac:dyDescent="0.3">
      <c r="A88" s="3"/>
      <c r="B88" s="25"/>
      <c r="C88" s="5" t="s">
        <v>272</v>
      </c>
      <c r="D88" s="134">
        <v>13.11</v>
      </c>
      <c r="E88" s="90">
        <f>303.1/E81</f>
        <v>11.863013698630137</v>
      </c>
      <c r="F88" s="90">
        <f>583.4/F81</f>
        <v>13.077785249943958</v>
      </c>
      <c r="G88" s="90">
        <f>338.3/G81</f>
        <v>0.3593889431861641</v>
      </c>
    </row>
    <row r="89" spans="1:7" x14ac:dyDescent="0.3">
      <c r="A89" s="3"/>
      <c r="B89" s="25"/>
      <c r="C89" s="5" t="s">
        <v>271</v>
      </c>
      <c r="D89" s="134">
        <v>56.3</v>
      </c>
      <c r="E89" s="90">
        <f>57.45/E82</f>
        <v>-23.25910931174089</v>
      </c>
      <c r="F89" s="90">
        <f>58.5/F82</f>
        <v>-24.074074074074073</v>
      </c>
      <c r="G89" s="90">
        <f>85/G82</f>
        <v>-472.22222222222223</v>
      </c>
    </row>
    <row r="90" spans="1:7" x14ac:dyDescent="0.3">
      <c r="A90" s="3"/>
      <c r="B90" s="25"/>
      <c r="C90" s="54" t="s">
        <v>165</v>
      </c>
      <c r="D90" s="150">
        <f>AVERAGE(D86:D89)</f>
        <v>25.274999999999999</v>
      </c>
      <c r="E90" s="157">
        <f>AVERAGE(E86:E89)</f>
        <v>15.607006726763732</v>
      </c>
      <c r="F90" s="157">
        <f>AVERAGE(F86:F89)</f>
        <v>-29.206947663907986</v>
      </c>
      <c r="G90" s="157">
        <f>AVERAGE(G86:G89)</f>
        <v>-101.39789928982835</v>
      </c>
    </row>
    <row r="91" spans="1:7" x14ac:dyDescent="0.3">
      <c r="A91" s="3"/>
      <c r="B91" s="25" t="s">
        <v>60</v>
      </c>
      <c r="C91" s="54" t="s">
        <v>450</v>
      </c>
      <c r="D91" s="136">
        <v>0.1656</v>
      </c>
      <c r="E91" s="110">
        <v>3.1899999999999998E-2</v>
      </c>
      <c r="F91" s="110">
        <v>3.9800000000000002E-2</v>
      </c>
      <c r="G91" s="110">
        <v>2.2599999999999999E-2</v>
      </c>
    </row>
    <row r="92" spans="1:7" x14ac:dyDescent="0.3">
      <c r="A92" s="3"/>
      <c r="B92" s="25"/>
      <c r="C92" s="54" t="s">
        <v>237</v>
      </c>
      <c r="D92" s="134"/>
      <c r="E92" s="88"/>
      <c r="F92" s="88"/>
      <c r="G92" s="88"/>
    </row>
    <row r="93" spans="1:7" x14ac:dyDescent="0.3">
      <c r="A93" s="3"/>
      <c r="B93" s="25"/>
      <c r="C93" s="5" t="s">
        <v>269</v>
      </c>
      <c r="D93" s="126">
        <v>0.10100000000000001</v>
      </c>
      <c r="E93" s="110">
        <v>3.2199999999999999E-2</v>
      </c>
      <c r="F93" s="90">
        <v>7.1</v>
      </c>
      <c r="G93" s="88">
        <v>7.72</v>
      </c>
    </row>
    <row r="94" spans="1:7" x14ac:dyDescent="0.3">
      <c r="A94" s="3"/>
      <c r="B94" s="25"/>
      <c r="C94" s="5" t="s">
        <v>811</v>
      </c>
      <c r="D94" s="136">
        <v>0.1424</v>
      </c>
      <c r="E94" s="110">
        <v>-6.9400000000000003E-2</v>
      </c>
      <c r="F94" s="154">
        <v>-7.0000000000000001E-3</v>
      </c>
      <c r="G94" s="88">
        <v>1.86</v>
      </c>
    </row>
    <row r="95" spans="1:7" x14ac:dyDescent="0.3">
      <c r="A95" s="3"/>
      <c r="B95" s="25"/>
      <c r="C95" s="5" t="s">
        <v>272</v>
      </c>
      <c r="D95" s="136">
        <v>0.04</v>
      </c>
      <c r="E95" s="88">
        <v>4.71</v>
      </c>
      <c r="F95" s="110">
        <v>3.3399999999999999E-2</v>
      </c>
      <c r="G95" s="110">
        <v>0.85470000000000002</v>
      </c>
    </row>
    <row r="96" spans="1:7" x14ac:dyDescent="0.3">
      <c r="A96" s="3"/>
      <c r="B96" s="25"/>
      <c r="C96" s="5" t="s">
        <v>271</v>
      </c>
      <c r="D96" s="136">
        <v>2.1100000000000001E-2</v>
      </c>
      <c r="E96" s="110">
        <v>-5.8599999999999999E-2</v>
      </c>
      <c r="F96" s="110">
        <v>-5.9299999999999999E-2</v>
      </c>
      <c r="G96" s="110">
        <v>-0.1066</v>
      </c>
    </row>
    <row r="97" spans="1:7" x14ac:dyDescent="0.3">
      <c r="A97" s="3"/>
      <c r="B97" s="25"/>
      <c r="C97" s="54" t="s">
        <v>165</v>
      </c>
      <c r="D97" s="209">
        <f>AVERAGE(D93:D96)</f>
        <v>7.6124999999999998E-2</v>
      </c>
      <c r="E97" s="131">
        <f>AVERAGE(E93:E96)</f>
        <v>1.1535499999999999</v>
      </c>
      <c r="F97" s="131">
        <f>AVERAGE(F93:F96)</f>
        <v>1.766775</v>
      </c>
      <c r="G97" s="131">
        <f>AVERAGE(G93:G96)</f>
        <v>2.5820249999999998</v>
      </c>
    </row>
    <row r="98" spans="1:7" x14ac:dyDescent="0.3">
      <c r="A98" s="3"/>
      <c r="B98" s="25" t="s">
        <v>61</v>
      </c>
      <c r="C98" s="54" t="s">
        <v>450</v>
      </c>
      <c r="D98" s="134">
        <v>14.63</v>
      </c>
      <c r="E98" s="88">
        <v>20.239999999999998</v>
      </c>
      <c r="F98" s="88">
        <v>21.07</v>
      </c>
      <c r="G98" s="88">
        <v>21.53</v>
      </c>
    </row>
    <row r="99" spans="1:7" x14ac:dyDescent="0.3">
      <c r="A99" s="3"/>
      <c r="B99" s="54"/>
      <c r="C99" s="54" t="s">
        <v>237</v>
      </c>
      <c r="D99" s="134"/>
      <c r="E99" s="88"/>
      <c r="F99" s="88"/>
      <c r="G99" s="88"/>
    </row>
    <row r="100" spans="1:7" x14ac:dyDescent="0.3">
      <c r="A100" s="3"/>
      <c r="B100" s="54"/>
      <c r="C100" s="5" t="s">
        <v>269</v>
      </c>
      <c r="D100" s="134">
        <v>40</v>
      </c>
      <c r="E100" s="88">
        <v>41.03</v>
      </c>
      <c r="F100" s="88">
        <v>46.95</v>
      </c>
      <c r="G100" s="88">
        <v>68.349999999999994</v>
      </c>
    </row>
    <row r="101" spans="1:7" x14ac:dyDescent="0.3">
      <c r="A101" s="3"/>
      <c r="B101" s="54"/>
      <c r="C101" s="5" t="s">
        <v>811</v>
      </c>
      <c r="D101" s="134">
        <v>65.64</v>
      </c>
      <c r="E101" s="88">
        <v>60.07</v>
      </c>
      <c r="F101" s="152">
        <v>59.58</v>
      </c>
      <c r="G101" s="88">
        <v>60.74</v>
      </c>
    </row>
    <row r="102" spans="1:7" x14ac:dyDescent="0.3">
      <c r="A102" s="3"/>
      <c r="B102" s="54"/>
      <c r="C102" s="5" t="s">
        <v>272</v>
      </c>
      <c r="D102" s="134">
        <v>516.9</v>
      </c>
      <c r="E102" s="88">
        <v>542.45000000000005</v>
      </c>
      <c r="F102" s="88">
        <v>583.62</v>
      </c>
      <c r="G102" s="88">
        <v>1072.32</v>
      </c>
    </row>
    <row r="103" spans="1:7" x14ac:dyDescent="0.3">
      <c r="A103" s="3"/>
      <c r="B103" s="54"/>
      <c r="C103" s="5" t="s">
        <v>271</v>
      </c>
      <c r="D103" s="134">
        <v>45.25</v>
      </c>
      <c r="E103" s="88">
        <v>41.41</v>
      </c>
      <c r="F103" s="90">
        <v>39.6</v>
      </c>
      <c r="G103" s="88">
        <v>35.950000000000003</v>
      </c>
    </row>
    <row r="104" spans="1:7" x14ac:dyDescent="0.3">
      <c r="A104" s="3"/>
      <c r="B104" s="54"/>
      <c r="C104" s="54" t="s">
        <v>165</v>
      </c>
      <c r="D104" s="150">
        <f>AVERAGE(D100:D103)</f>
        <v>166.94749999999999</v>
      </c>
      <c r="E104" s="116">
        <f>AVERAGE(E100:E103)</f>
        <v>171.24</v>
      </c>
      <c r="F104" s="116">
        <f>AVERAGE(F100:F103)</f>
        <v>182.4375</v>
      </c>
      <c r="G104" s="116">
        <f>AVERAGE(G100:G103)</f>
        <v>309.33999999999997</v>
      </c>
    </row>
    <row r="105" spans="1:7" x14ac:dyDescent="0.3">
      <c r="A105" s="3"/>
      <c r="B105" s="5"/>
      <c r="C105" s="5"/>
      <c r="D105" s="118"/>
      <c r="E105" s="88"/>
      <c r="F105" s="88"/>
      <c r="G105" s="88"/>
    </row>
    <row r="106" spans="1:7" x14ac:dyDescent="0.3">
      <c r="A106" s="3"/>
      <c r="B106" s="102"/>
      <c r="C106" s="103"/>
      <c r="D106" s="103"/>
      <c r="E106" s="103"/>
      <c r="F106" s="103"/>
      <c r="G106" s="104"/>
    </row>
    <row r="107" spans="1:7" x14ac:dyDescent="0.3">
      <c r="A107" s="3"/>
      <c r="B107" s="301"/>
      <c r="C107" s="302"/>
      <c r="D107" s="302"/>
      <c r="E107" s="302"/>
      <c r="F107" s="302"/>
      <c r="G107" s="303"/>
    </row>
    <row r="108" spans="1:7" s="2" customFormat="1" x14ac:dyDescent="0.3">
      <c r="B108" s="253" t="s">
        <v>82</v>
      </c>
      <c r="C108" s="270"/>
      <c r="D108" s="270"/>
      <c r="E108" s="270"/>
      <c r="F108" s="270"/>
      <c r="G108" s="254"/>
    </row>
    <row r="109" spans="1:7" x14ac:dyDescent="0.3">
      <c r="A109" s="3"/>
      <c r="B109" s="304" t="s">
        <v>609</v>
      </c>
      <c r="C109" s="242"/>
      <c r="D109" s="242"/>
      <c r="E109" s="242"/>
      <c r="F109" s="242"/>
      <c r="G109" s="305"/>
    </row>
    <row r="110" spans="1:7" ht="63" customHeight="1" x14ac:dyDescent="0.3">
      <c r="A110" s="3"/>
      <c r="B110" s="242" t="s">
        <v>761</v>
      </c>
      <c r="C110" s="242"/>
      <c r="D110" s="242"/>
      <c r="E110" s="55"/>
      <c r="F110" s="55"/>
      <c r="G110" s="55"/>
    </row>
    <row r="111" spans="1:7" x14ac:dyDescent="0.3">
      <c r="C111" s="306"/>
      <c r="D111" s="306"/>
      <c r="E111" s="306"/>
      <c r="F111" s="306"/>
      <c r="G111" s="306"/>
    </row>
    <row r="112" spans="1:7" x14ac:dyDescent="0.3">
      <c r="A112" s="3">
        <v>14</v>
      </c>
      <c r="B112" s="54" t="s">
        <v>63</v>
      </c>
      <c r="C112" s="307" t="s">
        <v>50</v>
      </c>
      <c r="D112" s="308"/>
      <c r="E112" s="308"/>
      <c r="F112" s="308"/>
      <c r="G112" s="249"/>
    </row>
    <row r="113" spans="2:8" x14ac:dyDescent="0.3">
      <c r="C113" s="55"/>
      <c r="D113" s="55"/>
      <c r="E113" s="55"/>
      <c r="F113" s="55"/>
      <c r="G113" s="55"/>
    </row>
    <row r="114" spans="2:8" x14ac:dyDescent="0.3">
      <c r="B114" s="299" t="s">
        <v>268</v>
      </c>
      <c r="C114" s="299"/>
      <c r="D114" s="299"/>
      <c r="E114" s="299"/>
      <c r="F114" s="299"/>
      <c r="G114" s="299"/>
      <c r="H114" s="299"/>
    </row>
    <row r="119" spans="2:8" x14ac:dyDescent="0.3">
      <c r="D119" s="56"/>
      <c r="E119" s="56"/>
    </row>
    <row r="120" spans="2:8" x14ac:dyDescent="0.3">
      <c r="E120" s="56"/>
    </row>
  </sheetData>
  <mergeCells count="55">
    <mergeCell ref="B72:F72"/>
    <mergeCell ref="B74:G74"/>
    <mergeCell ref="B114:H114"/>
    <mergeCell ref="B107:G107"/>
    <mergeCell ref="B108:G108"/>
    <mergeCell ref="B109:G109"/>
    <mergeCell ref="B110:D110"/>
    <mergeCell ref="C111:G111"/>
    <mergeCell ref="C112:G112"/>
    <mergeCell ref="L65:N65"/>
    <mergeCell ref="B69:N69"/>
    <mergeCell ref="I65:K65"/>
    <mergeCell ref="B71:F71"/>
    <mergeCell ref="B70:F70"/>
    <mergeCell ref="B65:B66"/>
    <mergeCell ref="C65:C66"/>
    <mergeCell ref="D65:D66"/>
    <mergeCell ref="E65:E66"/>
    <mergeCell ref="F65:H65"/>
    <mergeCell ref="C61:E61"/>
    <mergeCell ref="C44:E44"/>
    <mergeCell ref="B45:E45"/>
    <mergeCell ref="B47:E47"/>
    <mergeCell ref="B50:E50"/>
    <mergeCell ref="B52:E52"/>
    <mergeCell ref="B53:B54"/>
    <mergeCell ref="C53:E54"/>
    <mergeCell ref="C55:E55"/>
    <mergeCell ref="C56:E56"/>
    <mergeCell ref="B57:E57"/>
    <mergeCell ref="C59:E59"/>
    <mergeCell ref="C60:E60"/>
    <mergeCell ref="C43:E43"/>
    <mergeCell ref="C22:E22"/>
    <mergeCell ref="C23:E23"/>
    <mergeCell ref="C24:E24"/>
    <mergeCell ref="B26:E26"/>
    <mergeCell ref="B27:E27"/>
    <mergeCell ref="B33:E33"/>
    <mergeCell ref="B35:E35"/>
    <mergeCell ref="B39:D39"/>
    <mergeCell ref="B41:E41"/>
    <mergeCell ref="C42:E42"/>
    <mergeCell ref="C21:E21"/>
    <mergeCell ref="A1:B1"/>
    <mergeCell ref="C5:E5"/>
    <mergeCell ref="B6:D6"/>
    <mergeCell ref="B9:D9"/>
    <mergeCell ref="C11:E11"/>
    <mergeCell ref="B12:D12"/>
    <mergeCell ref="C14:E14"/>
    <mergeCell ref="B15:D15"/>
    <mergeCell ref="B17:C17"/>
    <mergeCell ref="B19:E19"/>
    <mergeCell ref="C20:E20"/>
  </mergeCells>
  <pageMargins left="0.70866141732283472" right="0.70866141732283472" top="0.74803149606299213" bottom="0.74803149606299213" header="0.31496062992125984" footer="0.31496062992125984"/>
  <pageSetup paperSize="9" scale="27" fitToWidth="70" fitToHeight="2" orientation="landscape" horizontalDpi="4294967292"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18</vt:i4>
      </vt:variant>
    </vt:vector>
  </HeadingPairs>
  <TitlesOfParts>
    <vt:vector size="51" baseType="lpstr">
      <vt:lpstr>Sunrise </vt:lpstr>
      <vt:lpstr>Kesar India Limited</vt:lpstr>
      <vt:lpstr>Le Merite Exports Limited</vt:lpstr>
      <vt:lpstr>Virtuoso Optoelectronics Limite</vt:lpstr>
      <vt:lpstr>Tapi Fruit Processing Limited</vt:lpstr>
      <vt:lpstr>Moxsh Overseas Educon Limited</vt:lpstr>
      <vt:lpstr>Lead Reclaim &amp; Rubber Product L</vt:lpstr>
      <vt:lpstr>Pattech Tube and Componets Lim</vt:lpstr>
      <vt:lpstr>Yasons Chemex Care Limited</vt:lpstr>
      <vt:lpstr>Pramara Promotions Limited</vt:lpstr>
      <vt:lpstr>Kundan Edifice Limited</vt:lpstr>
      <vt:lpstr>Oneclick Logistics India Ltd</vt:lpstr>
      <vt:lpstr>Sharp Chucks and Machines Limit</vt:lpstr>
      <vt:lpstr>Committed Cargo Limited</vt:lpstr>
      <vt:lpstr>KK Shah Hospitals</vt:lpstr>
      <vt:lpstr>IBL Finance Limited</vt:lpstr>
      <vt:lpstr>Docmode Health Technologies LTD</vt:lpstr>
      <vt:lpstr>Baweja Studios Limited</vt:lpstr>
      <vt:lpstr>Polysil Irrigation System LTD</vt:lpstr>
      <vt:lpstr>Deem Roll-Tech Limited</vt:lpstr>
      <vt:lpstr>Mukka Protiens Limited</vt:lpstr>
      <vt:lpstr>Vruddhi Engineering Works LTD</vt:lpstr>
      <vt:lpstr>GCONNECT LOGITECH AND SUPPLY CH</vt:lpstr>
      <vt:lpstr>Finelistings Technologies</vt:lpstr>
      <vt:lpstr>MAGENTA LIFECARE LIMITED</vt:lpstr>
      <vt:lpstr>Broach Lifecare Hospitals Ltd</vt:lpstr>
      <vt:lpstr>Boss Packaging Solutions Limite</vt:lpstr>
      <vt:lpstr>Naturewings Holidays Limited</vt:lpstr>
      <vt:lpstr>Hvax Technologies Limited</vt:lpstr>
      <vt:lpstr>Deepak Builders &amp; Engineers </vt:lpstr>
      <vt:lpstr>Royal arc Electrodes Ltd</vt:lpstr>
      <vt:lpstr>Patel Retail Limited</vt:lpstr>
      <vt:lpstr>RUKMANI DEVI GARG AGRO IMPEX LI</vt:lpstr>
      <vt:lpstr>'Baweja Studios Limited'!Print_Area</vt:lpstr>
      <vt:lpstr>'Broach Lifecare Hospitals Ltd'!Print_Area</vt:lpstr>
      <vt:lpstr>'Committed Cargo Limited'!Print_Area</vt:lpstr>
      <vt:lpstr>'Deem Roll-Tech Limited'!Print_Area</vt:lpstr>
      <vt:lpstr>'Deepak Builders &amp; Engineers '!Print_Area</vt:lpstr>
      <vt:lpstr>'Finelistings Technologies'!Print_Area</vt:lpstr>
      <vt:lpstr>'GCONNECT LOGITECH AND SUPPLY CH'!Print_Area</vt:lpstr>
      <vt:lpstr>'IBL Finance Limited'!Print_Area</vt:lpstr>
      <vt:lpstr>'Kesar India Limited'!Print_Area</vt:lpstr>
      <vt:lpstr>'Moxsh Overseas Educon Limited'!Print_Area</vt:lpstr>
      <vt:lpstr>'Oneclick Logistics India Ltd'!Print_Area</vt:lpstr>
      <vt:lpstr>'Patel Retail Limited'!Print_Area</vt:lpstr>
      <vt:lpstr>'Pattech Tube and Componets Lim'!Print_Area</vt:lpstr>
      <vt:lpstr>'Pramara Promotions Limited'!Print_Area</vt:lpstr>
      <vt:lpstr>'Royal arc Electrodes Ltd'!Print_Area</vt:lpstr>
      <vt:lpstr>'Sunrise '!Print_Area</vt:lpstr>
      <vt:lpstr>'Tapi Fruit Processing Limited'!Print_Area</vt:lpstr>
      <vt:lpstr>'Virtuoso Optoelectronics Limite'!Print_Area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Sahil Darvitkar</cp:lastModifiedBy>
  <cp:lastPrinted>2026-06-30T13:33:00Z</cp:lastPrinted>
  <dcterms:created xsi:type="dcterms:W3CDTF">2018-12-28T12:03:38Z</dcterms:created>
  <dcterms:modified xsi:type="dcterms:W3CDTF">2026-06-30T13:34:41Z</dcterms:modified>
</cp:coreProperties>
</file>